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_C_D\Desktop\"/>
    </mc:Choice>
  </mc:AlternateContent>
  <xr:revisionPtr revIDLastSave="0" documentId="13_ncr:1_{4C3BE8A7-E8F1-4A95-AC3F-D600D0215612}" xr6:coauthVersionLast="47" xr6:coauthVersionMax="47" xr10:uidLastSave="{00000000-0000-0000-0000-000000000000}"/>
  <bookViews>
    <workbookView xWindow="-120" yWindow="-120" windowWidth="24240" windowHeight="13140" tabRatio="960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AL8" i="37"/>
  <c r="I9" i="37"/>
  <c r="O9" i="37"/>
  <c r="U9" i="37"/>
  <c r="AA9" i="37"/>
  <c r="AG9" i="37"/>
  <c r="AL9" i="37"/>
  <c r="I10" i="37"/>
  <c r="O10" i="37"/>
  <c r="U10" i="37"/>
  <c r="AA10" i="37"/>
  <c r="AG10" i="37"/>
  <c r="AL10" i="37"/>
  <c r="I11" i="37"/>
  <c r="O11" i="37"/>
  <c r="U11" i="37"/>
  <c r="AA11" i="37"/>
  <c r="AG11" i="37"/>
  <c r="AL11" i="37"/>
  <c r="I12" i="37"/>
  <c r="O12" i="37"/>
  <c r="U12" i="37"/>
  <c r="AA12" i="37"/>
  <c r="AG12" i="37"/>
  <c r="AL12" i="37"/>
  <c r="I13" i="37"/>
  <c r="O13" i="37"/>
  <c r="U13" i="37"/>
  <c r="AA13" i="37"/>
  <c r="AG13" i="37"/>
  <c r="AL13" i="37"/>
  <c r="I14" i="37"/>
  <c r="O14" i="37"/>
  <c r="U14" i="37"/>
  <c r="AA14" i="37"/>
  <c r="AG14" i="37"/>
  <c r="AL14" i="37"/>
  <c r="I15" i="37"/>
  <c r="O15" i="37"/>
  <c r="U15" i="37"/>
  <c r="AA15" i="37"/>
  <c r="AG15" i="37"/>
  <c r="AL15" i="37"/>
  <c r="I16" i="37"/>
  <c r="O16" i="37"/>
  <c r="U16" i="37"/>
  <c r="AA16" i="37"/>
  <c r="AG16" i="37"/>
  <c r="AL16" i="37"/>
  <c r="I17" i="37"/>
  <c r="O17" i="37"/>
  <c r="U17" i="37"/>
  <c r="AA17" i="37"/>
  <c r="AG17" i="37"/>
  <c r="AL17" i="37"/>
  <c r="U18" i="37"/>
  <c r="I18" i="37"/>
  <c r="O18" i="37"/>
  <c r="AA18" i="37"/>
  <c r="AG18" i="37"/>
  <c r="AL18" i="37"/>
  <c r="I19" i="37"/>
  <c r="O19" i="37"/>
  <c r="U19" i="37"/>
  <c r="AA19" i="37"/>
  <c r="AG19" i="37"/>
  <c r="AL19" i="37"/>
  <c r="I20" i="37"/>
  <c r="O20" i="37"/>
  <c r="U20" i="37"/>
  <c r="AA20" i="37"/>
  <c r="AG20" i="37"/>
  <c r="AL20" i="37"/>
  <c r="O21" i="37"/>
  <c r="I21" i="37"/>
  <c r="U21" i="37"/>
  <c r="AA21" i="37"/>
  <c r="AG21" i="37"/>
  <c r="AL21" i="37"/>
  <c r="I22" i="37"/>
  <c r="O22" i="37"/>
  <c r="U22" i="37"/>
  <c r="AA22" i="37"/>
  <c r="AG22" i="37"/>
  <c r="AL22" i="37"/>
  <c r="I23" i="37"/>
  <c r="O23" i="37"/>
  <c r="U23" i="37"/>
  <c r="AA23" i="37"/>
  <c r="AG23" i="37"/>
  <c r="AL23" i="37"/>
  <c r="I24" i="37"/>
  <c r="O24" i="37"/>
  <c r="U24" i="37"/>
  <c r="AA24" i="37"/>
  <c r="AG24" i="37"/>
  <c r="AL24" i="37"/>
  <c r="I25" i="37"/>
  <c r="O25" i="37"/>
  <c r="U25" i="37"/>
  <c r="AA25" i="37"/>
  <c r="AG25" i="37"/>
  <c r="AL25" i="37"/>
  <c r="I26" i="37"/>
  <c r="O26" i="37"/>
  <c r="U26" i="37"/>
  <c r="AA26" i="37"/>
  <c r="AG26" i="37"/>
  <c r="AL26" i="37"/>
  <c r="I7" i="37"/>
  <c r="O7" i="37"/>
  <c r="U7" i="37"/>
  <c r="AA7" i="37"/>
  <c r="AG7" i="37"/>
  <c r="AL7" i="37"/>
  <c r="B2" i="36"/>
  <c r="A3" i="37"/>
  <c r="A3" i="21"/>
  <c r="B7" i="37"/>
  <c r="B8" i="37"/>
  <c r="B9" i="37"/>
  <c r="B10" i="37"/>
  <c r="AI7" i="37"/>
  <c r="AJ7" i="37"/>
  <c r="AI8" i="37"/>
  <c r="AJ8" i="37"/>
  <c r="AI9" i="37"/>
  <c r="AJ9" i="37"/>
  <c r="AI10" i="37"/>
  <c r="AJ10" i="37"/>
  <c r="B11" i="37"/>
  <c r="AI11" i="37"/>
  <c r="AJ11" i="37"/>
  <c r="B12" i="37"/>
  <c r="AI12" i="37"/>
  <c r="AJ12" i="37"/>
  <c r="B13" i="37"/>
  <c r="AI13" i="37"/>
  <c r="AJ13" i="37"/>
  <c r="B14" i="37"/>
  <c r="AI14" i="37"/>
  <c r="AJ14" i="37"/>
  <c r="B15" i="37"/>
  <c r="AI15" i="37"/>
  <c r="AJ15" i="37"/>
  <c r="B16" i="37"/>
  <c r="AI16" i="37"/>
  <c r="AJ16" i="37"/>
  <c r="B17" i="37"/>
  <c r="AI17" i="37"/>
  <c r="AJ17" i="37"/>
  <c r="B18" i="37"/>
  <c r="AI18" i="37"/>
  <c r="AJ18" i="37"/>
  <c r="B19" i="37"/>
  <c r="AI19" i="37"/>
  <c r="AJ19" i="37"/>
  <c r="B20" i="37"/>
  <c r="AI20" i="37"/>
  <c r="AJ20" i="37"/>
  <c r="B21" i="37"/>
  <c r="AI21" i="37"/>
  <c r="AJ21" i="37"/>
  <c r="B22" i="37"/>
  <c r="AI22" i="37"/>
  <c r="AJ22" i="37"/>
  <c r="B23" i="37"/>
  <c r="AI23" i="37"/>
  <c r="AJ23" i="37"/>
  <c r="B24" i="37"/>
  <c r="AI24" i="37"/>
  <c r="AJ24" i="37"/>
  <c r="B25" i="37"/>
  <c r="AI25" i="37"/>
  <c r="AJ25" i="37"/>
  <c r="B26" i="37"/>
  <c r="AI26" i="37"/>
  <c r="AJ26" i="37"/>
  <c r="A11" i="21"/>
  <c r="B11" i="21"/>
  <c r="K25" i="38"/>
  <c r="I26" i="22"/>
  <c r="C19" i="36"/>
  <c r="B25" i="36"/>
  <c r="B26" i="36"/>
  <c r="B27" i="36"/>
  <c r="B28" i="36"/>
  <c r="B29" i="36"/>
  <c r="B30" i="36"/>
  <c r="B31" i="36"/>
  <c r="C25" i="36"/>
  <c r="K25" i="36"/>
  <c r="K26" i="36"/>
  <c r="K27" i="36"/>
  <c r="K28" i="36"/>
  <c r="K29" i="36"/>
  <c r="K30" i="36"/>
  <c r="K31" i="36"/>
  <c r="I25" i="36"/>
  <c r="C26" i="22"/>
  <c r="H19" i="36"/>
  <c r="L41" i="36"/>
  <c r="L42" i="36"/>
  <c r="L43" i="36"/>
  <c r="L44" i="36"/>
  <c r="L45" i="36"/>
  <c r="L46" i="36"/>
  <c r="L47" i="36"/>
  <c r="M41" i="36"/>
  <c r="U41" i="36"/>
  <c r="U42" i="36"/>
  <c r="U43" i="36"/>
  <c r="U44" i="36"/>
  <c r="U45" i="36"/>
  <c r="U46" i="36"/>
  <c r="U47" i="36"/>
  <c r="S41" i="36"/>
  <c r="A13" i="21"/>
  <c r="B13" i="21"/>
  <c r="K9" i="38"/>
  <c r="I10" i="22"/>
  <c r="M19" i="36"/>
  <c r="L25" i="36"/>
  <c r="L26" i="36"/>
  <c r="L27" i="36"/>
  <c r="L28" i="36"/>
  <c r="L29" i="36"/>
  <c r="L30" i="36"/>
  <c r="L31" i="36"/>
  <c r="M25" i="36"/>
  <c r="U25" i="36"/>
  <c r="U26" i="36"/>
  <c r="U27" i="36"/>
  <c r="U28" i="36"/>
  <c r="U29" i="36"/>
  <c r="U30" i="36"/>
  <c r="U31" i="36"/>
  <c r="S25" i="36"/>
  <c r="A8" i="21"/>
  <c r="B8" i="21"/>
  <c r="C9" i="38"/>
  <c r="C10" i="22"/>
  <c r="R19" i="36"/>
  <c r="M51" i="36"/>
  <c r="P57" i="36"/>
  <c r="P58" i="36"/>
  <c r="P59" i="36"/>
  <c r="P60" i="36"/>
  <c r="P61" i="36"/>
  <c r="P62" i="36"/>
  <c r="P63" i="36"/>
  <c r="A12" i="21"/>
  <c r="B12" i="21"/>
  <c r="K17" i="38"/>
  <c r="I18" i="22"/>
  <c r="R5" i="36"/>
  <c r="L11" i="36"/>
  <c r="L12" i="36"/>
  <c r="L13" i="36"/>
  <c r="L14" i="36"/>
  <c r="L15" i="36"/>
  <c r="L16" i="36"/>
  <c r="L17" i="36"/>
  <c r="M11" i="36"/>
  <c r="L13" i="32"/>
  <c r="J13" i="32"/>
  <c r="A10" i="21"/>
  <c r="B10" i="21"/>
  <c r="C25" i="38"/>
  <c r="L14" i="32"/>
  <c r="J14" i="32"/>
  <c r="L15" i="32"/>
  <c r="M15" i="32"/>
  <c r="J15" i="32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B14" i="21"/>
  <c r="K1" i="38"/>
  <c r="I2" i="22"/>
  <c r="H5" i="36"/>
  <c r="L12" i="32"/>
  <c r="J12" i="32"/>
  <c r="U11" i="36"/>
  <c r="U12" i="36"/>
  <c r="U13" i="36"/>
  <c r="U14" i="36"/>
  <c r="U15" i="36"/>
  <c r="U16" i="36"/>
  <c r="U17" i="36"/>
  <c r="S11" i="36"/>
  <c r="B41" i="36"/>
  <c r="B42" i="36"/>
  <c r="B43" i="36"/>
  <c r="B44" i="36"/>
  <c r="B45" i="36"/>
  <c r="B46" i="36"/>
  <c r="B47" i="36"/>
  <c r="C41" i="36"/>
  <c r="K41" i="36"/>
  <c r="K42" i="36"/>
  <c r="K43" i="36"/>
  <c r="K44" i="36"/>
  <c r="K45" i="36"/>
  <c r="K46" i="36"/>
  <c r="K47" i="36"/>
  <c r="I41" i="36"/>
  <c r="B7" i="21"/>
  <c r="C1" i="38"/>
  <c r="C2" i="22"/>
  <c r="C5" i="36"/>
  <c r="A15" i="21"/>
  <c r="AE15" i="21"/>
  <c r="A17" i="32"/>
  <c r="A16" i="21"/>
  <c r="AE16" i="21"/>
  <c r="AI16" i="21"/>
  <c r="F17" i="32"/>
  <c r="A18" i="32"/>
  <c r="A17" i="21"/>
  <c r="AE17" i="21"/>
  <c r="AI17" i="21"/>
  <c r="F18" i="32"/>
  <c r="A19" i="32"/>
  <c r="A18" i="21"/>
  <c r="AE18" i="21"/>
  <c r="AI18" i="21"/>
  <c r="F19" i="32"/>
  <c r="A20" i="32"/>
  <c r="A19" i="21"/>
  <c r="AE19" i="21"/>
  <c r="AI19" i="21"/>
  <c r="F20" i="32"/>
  <c r="A21" i="32"/>
  <c r="A20" i="21"/>
  <c r="AE20" i="21"/>
  <c r="AI20" i="21"/>
  <c r="F21" i="32"/>
  <c r="A22" i="32"/>
  <c r="A21" i="21"/>
  <c r="AE21" i="21"/>
  <c r="AI21" i="21"/>
  <c r="F22" i="32"/>
  <c r="A23" i="32"/>
  <c r="A22" i="21"/>
  <c r="AE22" i="21"/>
  <c r="AI22" i="21"/>
  <c r="F23" i="32"/>
  <c r="A24" i="32"/>
  <c r="A23" i="21"/>
  <c r="AE23" i="21"/>
  <c r="AI23" i="21"/>
  <c r="F24" i="32"/>
  <c r="A25" i="32"/>
  <c r="A24" i="21"/>
  <c r="AE24" i="21"/>
  <c r="AI24" i="21"/>
  <c r="F25" i="32"/>
  <c r="A26" i="32"/>
  <c r="A25" i="21"/>
  <c r="AE25" i="21"/>
  <c r="AI25" i="21"/>
  <c r="F26" i="32"/>
  <c r="A27" i="32"/>
  <c r="A26" i="21"/>
  <c r="AE26" i="21"/>
  <c r="AI26" i="21"/>
  <c r="F27" i="32"/>
  <c r="A27" i="21"/>
  <c r="AE27" i="21"/>
  <c r="AI27" i="21"/>
  <c r="A28" i="21"/>
  <c r="AE28" i="21"/>
  <c r="A29" i="21"/>
  <c r="AE29" i="21"/>
  <c r="A30" i="21"/>
  <c r="AE30" i="21"/>
  <c r="A31" i="21"/>
  <c r="AE31" i="21"/>
  <c r="A32" i="21"/>
  <c r="AE32" i="21"/>
  <c r="A33" i="21"/>
  <c r="AE33" i="21"/>
  <c r="A34" i="21"/>
  <c r="AE34" i="21"/>
  <c r="A35" i="21"/>
  <c r="AE35" i="21"/>
  <c r="A36" i="21"/>
  <c r="AE36" i="21"/>
  <c r="A37" i="21"/>
  <c r="AE37" i="21"/>
  <c r="A38" i="21"/>
  <c r="AE38" i="21"/>
  <c r="A39" i="21"/>
  <c r="AE39" i="21"/>
  <c r="A40" i="21"/>
  <c r="AE40" i="21"/>
  <c r="A41" i="21"/>
  <c r="AE41" i="21"/>
  <c r="A42" i="21"/>
  <c r="AE42" i="21"/>
  <c r="A43" i="21"/>
  <c r="AE43" i="21"/>
  <c r="A44" i="21"/>
  <c r="AE44" i="21"/>
  <c r="A45" i="21"/>
  <c r="AE45" i="21"/>
  <c r="A46" i="21"/>
  <c r="AE46" i="21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 i="21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 i="21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 i="21"/>
  <c r="E16" i="32"/>
  <c r="C15" i="21"/>
  <c r="D16" i="32"/>
  <c r="B15" i="21"/>
  <c r="B16" i="32"/>
  <c r="A9" i="21"/>
  <c r="B9" i="21"/>
  <c r="C17" i="38"/>
  <c r="C18" i="22"/>
  <c r="M5" i="36"/>
  <c r="A9" i="32"/>
  <c r="P71" i="36"/>
  <c r="P72" i="36"/>
  <c r="P73" i="36"/>
  <c r="P74" i="36"/>
  <c r="P75" i="36"/>
  <c r="P76" i="36"/>
  <c r="P77" i="36"/>
  <c r="N71" i="36"/>
  <c r="G76" i="36"/>
  <c r="G71" i="36"/>
  <c r="G72" i="36"/>
  <c r="G73" i="36"/>
  <c r="G74" i="36"/>
  <c r="G75" i="36"/>
  <c r="G77" i="36"/>
  <c r="H71" i="36"/>
  <c r="B9" i="32"/>
  <c r="E9" i="32"/>
  <c r="AI11" i="21"/>
  <c r="AI10" i="21"/>
  <c r="AI9" i="21"/>
  <c r="A10" i="32"/>
  <c r="G57" i="36"/>
  <c r="G58" i="36"/>
  <c r="G59" i="36"/>
  <c r="G60" i="36"/>
  <c r="G61" i="36"/>
  <c r="G62" i="36"/>
  <c r="G63" i="36"/>
  <c r="H57" i="36"/>
  <c r="H51" i="36"/>
  <c r="B10" i="32"/>
  <c r="AI8" i="21"/>
  <c r="F10" i="32"/>
  <c r="A11" i="32"/>
  <c r="B11" i="32"/>
  <c r="AI13" i="21"/>
  <c r="F11" i="32"/>
  <c r="C8" i="21"/>
  <c r="D8" i="21"/>
  <c r="E8" i="21"/>
  <c r="F8" i="21"/>
  <c r="G8" i="21"/>
  <c r="E11" i="38"/>
  <c r="H8" i="21"/>
  <c r="I8" i="21"/>
  <c r="J8" i="21"/>
  <c r="K8" i="21"/>
  <c r="C12" i="38"/>
  <c r="L8" i="21"/>
  <c r="M8" i="21"/>
  <c r="N8" i="21"/>
  <c r="O8" i="21"/>
  <c r="G12" i="38"/>
  <c r="P8" i="21"/>
  <c r="Q8" i="21"/>
  <c r="R8" i="21"/>
  <c r="S8" i="21"/>
  <c r="E13" i="38"/>
  <c r="T8" i="21"/>
  <c r="U8" i="21"/>
  <c r="V8" i="21"/>
  <c r="W8" i="21"/>
  <c r="C14" i="38"/>
  <c r="X8" i="21"/>
  <c r="Y8" i="21"/>
  <c r="Z8" i="21"/>
  <c r="AA8" i="21"/>
  <c r="G14" i="38"/>
  <c r="AB8" i="21"/>
  <c r="AC8" i="21"/>
  <c r="AD8" i="21"/>
  <c r="AE8" i="21"/>
  <c r="E15" i="38"/>
  <c r="AF8" i="21"/>
  <c r="AG8" i="21"/>
  <c r="AH8" i="21"/>
  <c r="C9" i="21"/>
  <c r="D9" i="21"/>
  <c r="E9" i="21"/>
  <c r="F9" i="21"/>
  <c r="G9" i="21"/>
  <c r="E19" i="38"/>
  <c r="A19" i="38"/>
  <c r="H9" i="21"/>
  <c r="I9" i="21"/>
  <c r="J9" i="21"/>
  <c r="K9" i="21"/>
  <c r="C20" i="38"/>
  <c r="L9" i="21"/>
  <c r="M9" i="21"/>
  <c r="N9" i="21"/>
  <c r="O9" i="21"/>
  <c r="G20" i="38"/>
  <c r="P9" i="21"/>
  <c r="Q9" i="21"/>
  <c r="R9" i="21"/>
  <c r="S9" i="21"/>
  <c r="E21" i="38"/>
  <c r="T9" i="21"/>
  <c r="U9" i="21"/>
  <c r="V9" i="21"/>
  <c r="W9" i="21"/>
  <c r="X9" i="21"/>
  <c r="Y9" i="21"/>
  <c r="Z9" i="21"/>
  <c r="AA9" i="21"/>
  <c r="G22" i="38"/>
  <c r="AB9" i="21"/>
  <c r="AC9" i="21"/>
  <c r="AD9" i="21"/>
  <c r="AE9" i="21"/>
  <c r="E23" i="38"/>
  <c r="AF9" i="21"/>
  <c r="AG9" i="21"/>
  <c r="AH9" i="21"/>
  <c r="C10" i="21"/>
  <c r="D10" i="21"/>
  <c r="E10" i="21"/>
  <c r="F10" i="21"/>
  <c r="G10" i="21"/>
  <c r="E27" i="38"/>
  <c r="H10" i="21"/>
  <c r="I10" i="21"/>
  <c r="J10" i="21"/>
  <c r="K10" i="21"/>
  <c r="C28" i="38"/>
  <c r="L10" i="21"/>
  <c r="M10" i="21"/>
  <c r="N10" i="21"/>
  <c r="O10" i="21"/>
  <c r="G28" i="38"/>
  <c r="P10" i="21"/>
  <c r="Q10" i="21"/>
  <c r="R10" i="21"/>
  <c r="S10" i="21"/>
  <c r="E29" i="38"/>
  <c r="T10" i="21"/>
  <c r="U10" i="21"/>
  <c r="V10" i="21"/>
  <c r="W10" i="21"/>
  <c r="C30" i="38"/>
  <c r="X10" i="21"/>
  <c r="Y10" i="21"/>
  <c r="Z10" i="21"/>
  <c r="AA10" i="21"/>
  <c r="AB10" i="21"/>
  <c r="AC10" i="21"/>
  <c r="AD10" i="21"/>
  <c r="AE10" i="21"/>
  <c r="E31" i="38"/>
  <c r="AF10" i="21"/>
  <c r="AG10" i="21"/>
  <c r="AH10" i="21"/>
  <c r="C11" i="21"/>
  <c r="D11" i="21"/>
  <c r="E11" i="21"/>
  <c r="F11" i="21"/>
  <c r="G11" i="21"/>
  <c r="M27" i="38"/>
  <c r="H11" i="21"/>
  <c r="I11" i="21"/>
  <c r="J11" i="21"/>
  <c r="K11" i="21"/>
  <c r="K28" i="38"/>
  <c r="L11" i="21"/>
  <c r="M11" i="21"/>
  <c r="N11" i="21"/>
  <c r="O11" i="21"/>
  <c r="O28" i="38"/>
  <c r="P11" i="21"/>
  <c r="Q11" i="21"/>
  <c r="R11" i="21"/>
  <c r="S11" i="21"/>
  <c r="M29" i="38"/>
  <c r="T11" i="21"/>
  <c r="U11" i="21"/>
  <c r="V11" i="21"/>
  <c r="W11" i="21"/>
  <c r="K30" i="38"/>
  <c r="X11" i="21"/>
  <c r="Y11" i="21"/>
  <c r="Z11" i="21"/>
  <c r="AA11" i="21"/>
  <c r="O30" i="38"/>
  <c r="AB11" i="21"/>
  <c r="AC11" i="21"/>
  <c r="AD11" i="21"/>
  <c r="AE11" i="21"/>
  <c r="M31" i="38"/>
  <c r="AF11" i="21"/>
  <c r="AG11" i="21"/>
  <c r="AH11" i="21"/>
  <c r="C12" i="21"/>
  <c r="D12" i="21"/>
  <c r="E12" i="21"/>
  <c r="F12" i="21"/>
  <c r="G12" i="21"/>
  <c r="M19" i="38"/>
  <c r="H12" i="21"/>
  <c r="I12" i="21"/>
  <c r="J12" i="21"/>
  <c r="K12" i="21"/>
  <c r="K20" i="38"/>
  <c r="L12" i="21"/>
  <c r="M12" i="21"/>
  <c r="N12" i="21"/>
  <c r="O12" i="21"/>
  <c r="O20" i="38"/>
  <c r="P12" i="21"/>
  <c r="Q12" i="21"/>
  <c r="R12" i="21"/>
  <c r="S12" i="21"/>
  <c r="M21" i="38"/>
  <c r="T12" i="21"/>
  <c r="U12" i="21"/>
  <c r="V12" i="21"/>
  <c r="W12" i="21"/>
  <c r="K22" i="38"/>
  <c r="X12" i="21"/>
  <c r="Y12" i="21"/>
  <c r="Z12" i="21"/>
  <c r="AA12" i="21"/>
  <c r="O22" i="38"/>
  <c r="AB12" i="21"/>
  <c r="AC12" i="21"/>
  <c r="AD12" i="21"/>
  <c r="AE12" i="21"/>
  <c r="M23" i="38"/>
  <c r="AF12" i="21"/>
  <c r="AG12" i="21"/>
  <c r="AH12" i="21"/>
  <c r="AI12" i="21"/>
  <c r="C13" i="21"/>
  <c r="D13" i="21"/>
  <c r="E13" i="21"/>
  <c r="F13" i="21"/>
  <c r="L11" i="38"/>
  <c r="G13" i="21"/>
  <c r="H13" i="21"/>
  <c r="I13" i="21"/>
  <c r="J13" i="21"/>
  <c r="J12" i="38"/>
  <c r="K13" i="21"/>
  <c r="L13" i="21"/>
  <c r="M13" i="21"/>
  <c r="N13" i="21"/>
  <c r="N12" i="38"/>
  <c r="O13" i="21"/>
  <c r="P13" i="21"/>
  <c r="Q13" i="21"/>
  <c r="R13" i="21"/>
  <c r="L13" i="38"/>
  <c r="S13" i="21"/>
  <c r="T13" i="21"/>
  <c r="U13" i="21"/>
  <c r="V13" i="21"/>
  <c r="W13" i="21"/>
  <c r="X13" i="21"/>
  <c r="Y13" i="21"/>
  <c r="Z13" i="21"/>
  <c r="N14" i="38"/>
  <c r="AA13" i="21"/>
  <c r="AB13" i="21"/>
  <c r="AC13" i="21"/>
  <c r="AD13" i="21"/>
  <c r="L15" i="38"/>
  <c r="AE13" i="21"/>
  <c r="AF13" i="21"/>
  <c r="AG13" i="21"/>
  <c r="AH13" i="21"/>
  <c r="N9" i="38"/>
  <c r="C14" i="21"/>
  <c r="D14" i="21"/>
  <c r="E14" i="21"/>
  <c r="F14" i="21"/>
  <c r="L3" i="38"/>
  <c r="G14" i="21"/>
  <c r="H14" i="21"/>
  <c r="I14" i="21"/>
  <c r="J14" i="21"/>
  <c r="K14" i="21"/>
  <c r="L14" i="21"/>
  <c r="M14" i="21"/>
  <c r="N14" i="21"/>
  <c r="N4" i="38"/>
  <c r="O14" i="21"/>
  <c r="P14" i="21"/>
  <c r="Q14" i="21"/>
  <c r="R14" i="21"/>
  <c r="L5" i="38"/>
  <c r="S14" i="21"/>
  <c r="T14" i="21"/>
  <c r="U14" i="21"/>
  <c r="V14" i="21"/>
  <c r="J6" i="38"/>
  <c r="W14" i="21"/>
  <c r="X14" i="21"/>
  <c r="Y14" i="21"/>
  <c r="Z14" i="21"/>
  <c r="N6" i="38"/>
  <c r="AA14" i="21"/>
  <c r="AB14" i="21"/>
  <c r="AC14" i="21"/>
  <c r="AD14" i="21"/>
  <c r="L7" i="38"/>
  <c r="AE14" i="21"/>
  <c r="AF14" i="21"/>
  <c r="AG14" i="21"/>
  <c r="AH14" i="21"/>
  <c r="N1" i="38"/>
  <c r="AI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F27" i="21"/>
  <c r="AG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F28" i="21"/>
  <c r="AG28" i="21"/>
  <c r="AH28" i="21"/>
  <c r="AI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F29" i="21"/>
  <c r="AG29" i="21"/>
  <c r="AH29" i="21"/>
  <c r="AI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F30" i="21"/>
  <c r="AG30" i="21"/>
  <c r="AH30" i="21"/>
  <c r="AI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F31" i="21"/>
  <c r="AG31" i="21"/>
  <c r="AH31" i="21"/>
  <c r="AI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F32" i="21"/>
  <c r="AG32" i="21"/>
  <c r="AH32" i="21"/>
  <c r="AI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F33" i="21"/>
  <c r="AG33" i="21"/>
  <c r="AH33" i="21"/>
  <c r="AI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F34" i="21"/>
  <c r="AG34" i="21"/>
  <c r="AH34" i="21"/>
  <c r="AI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F35" i="21"/>
  <c r="AG35" i="21"/>
  <c r="AH35" i="21"/>
  <c r="AI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F36" i="21"/>
  <c r="AG36" i="21"/>
  <c r="AH36" i="21"/>
  <c r="AI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F37" i="21"/>
  <c r="AG37" i="21"/>
  <c r="AH37" i="21"/>
  <c r="AI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F38" i="21"/>
  <c r="AG38" i="21"/>
  <c r="AH38" i="21"/>
  <c r="AI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F39" i="21"/>
  <c r="AG39" i="21"/>
  <c r="AH39" i="21"/>
  <c r="AI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F40" i="21"/>
  <c r="AG40" i="21"/>
  <c r="AH40" i="21"/>
  <c r="AI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F41" i="21"/>
  <c r="AG41" i="21"/>
  <c r="AH41" i="21"/>
  <c r="AI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F42" i="21"/>
  <c r="AG42" i="21"/>
  <c r="AH42" i="21"/>
  <c r="AI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AG43" i="21"/>
  <c r="AH43" i="21"/>
  <c r="AI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F44" i="21"/>
  <c r="AG44" i="21"/>
  <c r="AH44" i="21"/>
  <c r="AI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F45" i="21"/>
  <c r="AG45" i="21"/>
  <c r="AH45" i="21"/>
  <c r="AI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AG46" i="21"/>
  <c r="AH46" i="21"/>
  <c r="AI46" i="21"/>
  <c r="A12" i="32"/>
  <c r="E12" i="32"/>
  <c r="B12" i="32"/>
  <c r="F12" i="32"/>
  <c r="A13" i="32"/>
  <c r="E13" i="32"/>
  <c r="B13" i="32"/>
  <c r="F13" i="32"/>
  <c r="A14" i="32"/>
  <c r="E14" i="32"/>
  <c r="B14" i="32"/>
  <c r="F14" i="32"/>
  <c r="A15" i="32"/>
  <c r="E15" i="32"/>
  <c r="B15" i="32"/>
  <c r="F15" i="32"/>
  <c r="AI7" i="21"/>
  <c r="E10" i="32"/>
  <c r="E11" i="32"/>
  <c r="AH7" i="21"/>
  <c r="D10" i="32"/>
  <c r="D11" i="32"/>
  <c r="C7" i="21"/>
  <c r="D12" i="32"/>
  <c r="D13" i="32"/>
  <c r="D14" i="32"/>
  <c r="D15" i="32"/>
  <c r="A1" i="32"/>
  <c r="A4" i="32"/>
  <c r="F11" i="38"/>
  <c r="G11" i="38"/>
  <c r="D11" i="38"/>
  <c r="F12" i="38"/>
  <c r="E12" i="38"/>
  <c r="D12" i="38"/>
  <c r="F13" i="38"/>
  <c r="G13" i="38"/>
  <c r="D13" i="38"/>
  <c r="F14" i="38"/>
  <c r="E14" i="38"/>
  <c r="D14" i="38"/>
  <c r="F15" i="38"/>
  <c r="G15" i="38"/>
  <c r="D15" i="38"/>
  <c r="N3" i="38"/>
  <c r="O3" i="38"/>
  <c r="M3" i="38"/>
  <c r="O4" i="38"/>
  <c r="M4" i="38"/>
  <c r="L4" i="38"/>
  <c r="N5" i="38"/>
  <c r="O5" i="38"/>
  <c r="M5" i="38"/>
  <c r="O6" i="38"/>
  <c r="M6" i="38"/>
  <c r="L6" i="38"/>
  <c r="N7" i="38"/>
  <c r="O7" i="38"/>
  <c r="M7" i="38"/>
  <c r="L5" i="22"/>
  <c r="K5" i="22"/>
  <c r="L6" i="22"/>
  <c r="K6" i="22"/>
  <c r="L7" i="22"/>
  <c r="K7" i="22"/>
  <c r="L8" i="22"/>
  <c r="K8" i="22"/>
  <c r="J5" i="22"/>
  <c r="J6" i="22"/>
  <c r="J7" i="22"/>
  <c r="J8" i="22"/>
  <c r="K7" i="38"/>
  <c r="K6" i="38"/>
  <c r="K3" i="38"/>
  <c r="K4" i="38"/>
  <c r="K5" i="38"/>
  <c r="I5" i="22"/>
  <c r="I6" i="22"/>
  <c r="I7" i="22"/>
  <c r="I8" i="22"/>
  <c r="J7" i="38"/>
  <c r="J3" i="38"/>
  <c r="J4" i="38"/>
  <c r="J5" i="38"/>
  <c r="H5" i="22"/>
  <c r="H6" i="22"/>
  <c r="H7" i="22"/>
  <c r="H9" i="36"/>
  <c r="H8" i="22"/>
  <c r="L4" i="22"/>
  <c r="K4" i="22"/>
  <c r="J4" i="22"/>
  <c r="I4" i="22"/>
  <c r="H4" i="22"/>
  <c r="L2" i="22"/>
  <c r="N11" i="38"/>
  <c r="O11" i="38"/>
  <c r="M11" i="38"/>
  <c r="O12" i="38"/>
  <c r="M12" i="38"/>
  <c r="L12" i="38"/>
  <c r="N13" i="38"/>
  <c r="O13" i="38"/>
  <c r="M13" i="38"/>
  <c r="O14" i="38"/>
  <c r="M14" i="38"/>
  <c r="L14" i="38"/>
  <c r="N15" i="38"/>
  <c r="O15" i="38"/>
  <c r="M15" i="38"/>
  <c r="L13" i="22"/>
  <c r="K13" i="22"/>
  <c r="L14" i="22"/>
  <c r="K14" i="22"/>
  <c r="L15" i="22"/>
  <c r="K15" i="22"/>
  <c r="L16" i="22"/>
  <c r="K16" i="22"/>
  <c r="J13" i="22"/>
  <c r="J14" i="22"/>
  <c r="J15" i="22"/>
  <c r="J16" i="22"/>
  <c r="K15" i="38"/>
  <c r="K14" i="38"/>
  <c r="K12" i="38"/>
  <c r="K11" i="38"/>
  <c r="K13" i="38"/>
  <c r="I13" i="22"/>
  <c r="I14" i="22"/>
  <c r="I15" i="22"/>
  <c r="I16" i="22"/>
  <c r="J15" i="38"/>
  <c r="J14" i="38"/>
  <c r="J11" i="38"/>
  <c r="J13" i="38"/>
  <c r="H13" i="22"/>
  <c r="M21" i="36"/>
  <c r="H14" i="22"/>
  <c r="M22" i="36"/>
  <c r="H15" i="22"/>
  <c r="H16" i="22"/>
  <c r="L12" i="22"/>
  <c r="K12" i="22"/>
  <c r="J12" i="22"/>
  <c r="I12" i="22"/>
  <c r="H12" i="22"/>
  <c r="L10" i="22"/>
  <c r="N17" i="38"/>
  <c r="L18" i="22"/>
  <c r="N19" i="38"/>
  <c r="O19" i="38"/>
  <c r="L19" i="38"/>
  <c r="N20" i="38"/>
  <c r="M20" i="38"/>
  <c r="L20" i="38"/>
  <c r="N21" i="38"/>
  <c r="O21" i="38"/>
  <c r="L21" i="38"/>
  <c r="N22" i="38"/>
  <c r="M22" i="38"/>
  <c r="L22" i="38"/>
  <c r="N23" i="38"/>
  <c r="O23" i="38"/>
  <c r="L23" i="38"/>
  <c r="L21" i="22"/>
  <c r="K21" i="22"/>
  <c r="L22" i="22"/>
  <c r="K22" i="22"/>
  <c r="L23" i="22"/>
  <c r="K23" i="22"/>
  <c r="L24" i="22"/>
  <c r="K24" i="22"/>
  <c r="J21" i="22"/>
  <c r="J22" i="22"/>
  <c r="J23" i="22"/>
  <c r="J24" i="22"/>
  <c r="K23" i="38"/>
  <c r="K21" i="38"/>
  <c r="K19" i="38"/>
  <c r="I21" i="22"/>
  <c r="I22" i="22"/>
  <c r="I23" i="22"/>
  <c r="I24" i="22"/>
  <c r="J23" i="38"/>
  <c r="J21" i="38"/>
  <c r="J22" i="38"/>
  <c r="J19" i="38"/>
  <c r="J20" i="38"/>
  <c r="H21" i="22"/>
  <c r="H22" i="22"/>
  <c r="H23" i="22"/>
  <c r="H24" i="22"/>
  <c r="R10" i="36"/>
  <c r="L20" i="22"/>
  <c r="H20" i="22"/>
  <c r="J20" i="22"/>
  <c r="K20" i="22"/>
  <c r="I20" i="22"/>
  <c r="N27" i="38"/>
  <c r="O27" i="38"/>
  <c r="L27" i="38"/>
  <c r="N28" i="38"/>
  <c r="M28" i="38"/>
  <c r="L28" i="38"/>
  <c r="N29" i="38"/>
  <c r="O29" i="38"/>
  <c r="L29" i="38"/>
  <c r="N30" i="38"/>
  <c r="M30" i="38"/>
  <c r="L30" i="38"/>
  <c r="N31" i="38"/>
  <c r="O31" i="38"/>
  <c r="L31" i="38"/>
  <c r="L29" i="22"/>
  <c r="K29" i="38"/>
  <c r="K27" i="38"/>
  <c r="K31" i="38"/>
  <c r="I29" i="22"/>
  <c r="L30" i="22"/>
  <c r="I30" i="22"/>
  <c r="L31" i="22"/>
  <c r="I31" i="22"/>
  <c r="L32" i="22"/>
  <c r="I32" i="22"/>
  <c r="J29" i="22"/>
  <c r="J30" i="22"/>
  <c r="J31" i="22"/>
  <c r="J32" i="22"/>
  <c r="K29" i="22"/>
  <c r="K30" i="22"/>
  <c r="K31" i="22"/>
  <c r="K32" i="22"/>
  <c r="J29" i="38"/>
  <c r="J30" i="38"/>
  <c r="J27" i="38"/>
  <c r="J28" i="38"/>
  <c r="J31" i="38"/>
  <c r="H29" i="22"/>
  <c r="H30" i="22"/>
  <c r="H31" i="22"/>
  <c r="H32" i="22"/>
  <c r="C24" i="36"/>
  <c r="L28" i="22"/>
  <c r="K28" i="22"/>
  <c r="J28" i="22"/>
  <c r="I28" i="22"/>
  <c r="H28" i="22"/>
  <c r="N25" i="38"/>
  <c r="L26" i="22"/>
  <c r="F27" i="38"/>
  <c r="G27" i="38"/>
  <c r="D27" i="38"/>
  <c r="F28" i="38"/>
  <c r="E28" i="38"/>
  <c r="D28" i="38"/>
  <c r="F29" i="38"/>
  <c r="G29" i="38"/>
  <c r="D29" i="38"/>
  <c r="F30" i="38"/>
  <c r="G30" i="38"/>
  <c r="E30" i="38"/>
  <c r="D30" i="38"/>
  <c r="F31" i="38"/>
  <c r="G31" i="38"/>
  <c r="D31" i="38"/>
  <c r="F29" i="22"/>
  <c r="C29" i="38"/>
  <c r="C27" i="38"/>
  <c r="C31" i="38"/>
  <c r="C29" i="22"/>
  <c r="F30" i="22"/>
  <c r="C30" i="22"/>
  <c r="F31" i="22"/>
  <c r="C31" i="22"/>
  <c r="F32" i="22"/>
  <c r="C32" i="22"/>
  <c r="D29" i="22"/>
  <c r="D30" i="22"/>
  <c r="D31" i="22"/>
  <c r="D32" i="22"/>
  <c r="E29" i="22"/>
  <c r="E30" i="22"/>
  <c r="E31" i="22"/>
  <c r="E32" i="22"/>
  <c r="B29" i="38"/>
  <c r="B30" i="38"/>
  <c r="B27" i="38"/>
  <c r="B28" i="38"/>
  <c r="B31" i="38"/>
  <c r="B29" i="22"/>
  <c r="B30" i="22"/>
  <c r="B31" i="22"/>
  <c r="H23" i="36"/>
  <c r="H39" i="36"/>
  <c r="B32" i="22"/>
  <c r="H24" i="36"/>
  <c r="F28" i="22"/>
  <c r="E28" i="22"/>
  <c r="D28" i="22"/>
  <c r="B28" i="22"/>
  <c r="H20" i="36"/>
  <c r="C28" i="22"/>
  <c r="F25" i="38"/>
  <c r="F26" i="22"/>
  <c r="F19" i="38"/>
  <c r="G19" i="38"/>
  <c r="D19" i="38"/>
  <c r="F20" i="38"/>
  <c r="E20" i="38"/>
  <c r="D20" i="38"/>
  <c r="F21" i="38"/>
  <c r="G21" i="38"/>
  <c r="D21" i="38"/>
  <c r="F22" i="38"/>
  <c r="E22" i="38"/>
  <c r="D22" i="38"/>
  <c r="F23" i="38"/>
  <c r="G23" i="38"/>
  <c r="D23" i="38"/>
  <c r="F21" i="22"/>
  <c r="E21" i="22"/>
  <c r="F22" i="22"/>
  <c r="E22" i="22"/>
  <c r="F23" i="22"/>
  <c r="E23" i="22"/>
  <c r="F24" i="22"/>
  <c r="E24" i="22"/>
  <c r="D21" i="22"/>
  <c r="D22" i="22"/>
  <c r="D23" i="22"/>
  <c r="D24" i="22"/>
  <c r="C22" i="38"/>
  <c r="C19" i="38"/>
  <c r="C23" i="38"/>
  <c r="C21" i="38"/>
  <c r="C21" i="22"/>
  <c r="C22" i="22"/>
  <c r="C23" i="22"/>
  <c r="C24" i="22"/>
  <c r="F20" i="22"/>
  <c r="E20" i="22"/>
  <c r="D20" i="22"/>
  <c r="C20" i="22"/>
  <c r="B22" i="38"/>
  <c r="B19" i="38"/>
  <c r="B20" i="38"/>
  <c r="B23" i="38"/>
  <c r="B21" i="38"/>
  <c r="B21" i="22"/>
  <c r="M7" i="36"/>
  <c r="B22" i="22"/>
  <c r="M8" i="36"/>
  <c r="B23" i="22"/>
  <c r="M9" i="36"/>
  <c r="B24" i="22"/>
  <c r="M10" i="36"/>
  <c r="B20" i="22"/>
  <c r="F17" i="38"/>
  <c r="F18" i="22"/>
  <c r="C11" i="38"/>
  <c r="C15" i="38"/>
  <c r="C13" i="38"/>
  <c r="B14" i="38"/>
  <c r="B11" i="38"/>
  <c r="B12" i="38"/>
  <c r="B15" i="38"/>
  <c r="B13" i="38"/>
  <c r="H7" i="21"/>
  <c r="F3" i="38"/>
  <c r="I7" i="21"/>
  <c r="G3" i="38"/>
  <c r="G7" i="21"/>
  <c r="E3" i="38"/>
  <c r="F7" i="21"/>
  <c r="D3" i="38"/>
  <c r="N7" i="21"/>
  <c r="F4" i="38"/>
  <c r="O7" i="21"/>
  <c r="G4" i="38"/>
  <c r="M7" i="21"/>
  <c r="E4" i="38"/>
  <c r="L7" i="21"/>
  <c r="D4" i="38"/>
  <c r="T7" i="21"/>
  <c r="F5" i="38"/>
  <c r="U7" i="21"/>
  <c r="G5" i="38"/>
  <c r="S7" i="21"/>
  <c r="E5" i="38"/>
  <c r="R7" i="21"/>
  <c r="D5" i="38"/>
  <c r="Z7" i="21"/>
  <c r="F6" i="38"/>
  <c r="AA7" i="21"/>
  <c r="G6" i="38"/>
  <c r="Y7" i="21"/>
  <c r="E6" i="38"/>
  <c r="X7" i="21"/>
  <c r="D6" i="38"/>
  <c r="AF7" i="21"/>
  <c r="F7" i="38"/>
  <c r="AG7" i="21"/>
  <c r="G7" i="38"/>
  <c r="AE7" i="21"/>
  <c r="E7" i="38"/>
  <c r="AD7" i="21"/>
  <c r="D7" i="38"/>
  <c r="W7" i="21"/>
  <c r="C6" i="38"/>
  <c r="K7" i="21"/>
  <c r="C4" i="38"/>
  <c r="Q7" i="21"/>
  <c r="C5" i="38"/>
  <c r="AC7" i="21"/>
  <c r="C7" i="38"/>
  <c r="E7" i="21"/>
  <c r="C3" i="38"/>
  <c r="V7" i="21"/>
  <c r="B6" i="38"/>
  <c r="J7" i="21"/>
  <c r="B4" i="38"/>
  <c r="P7" i="21"/>
  <c r="B5" i="38"/>
  <c r="AB7" i="21"/>
  <c r="B7" i="38"/>
  <c r="D7" i="21"/>
  <c r="B3" i="38"/>
  <c r="F9" i="38"/>
  <c r="F10" i="22"/>
  <c r="F1" i="38"/>
  <c r="F2" i="22"/>
  <c r="J25" i="38"/>
  <c r="B25" i="38"/>
  <c r="J17" i="38"/>
  <c r="B17" i="38"/>
  <c r="J9" i="38"/>
  <c r="J1" i="38"/>
  <c r="H2" i="22"/>
  <c r="H10" i="22"/>
  <c r="B18" i="22"/>
  <c r="H18" i="22"/>
  <c r="B26" i="22"/>
  <c r="H26" i="22"/>
  <c r="H6" i="36"/>
  <c r="M6" i="36"/>
  <c r="R6" i="36"/>
  <c r="H7" i="36"/>
  <c r="R7" i="36"/>
  <c r="H8" i="36"/>
  <c r="R8" i="36"/>
  <c r="R9" i="36"/>
  <c r="H10" i="36"/>
  <c r="C20" i="36"/>
  <c r="M20" i="36"/>
  <c r="C21" i="36"/>
  <c r="H37" i="36"/>
  <c r="H21" i="36"/>
  <c r="C22" i="36"/>
  <c r="H22" i="36"/>
  <c r="C23" i="36"/>
  <c r="M23" i="36"/>
  <c r="M24" i="36"/>
  <c r="H52" i="36"/>
  <c r="M52" i="36"/>
  <c r="H53" i="36"/>
  <c r="M53" i="36"/>
  <c r="H54" i="36"/>
  <c r="M54" i="36"/>
  <c r="H55" i="36"/>
  <c r="M55" i="36"/>
  <c r="H56" i="36"/>
  <c r="M56" i="36"/>
  <c r="B8" i="32"/>
  <c r="F8" i="32"/>
  <c r="F9" i="32"/>
  <c r="D9" i="32"/>
  <c r="A29" i="38"/>
  <c r="I15" i="38"/>
  <c r="I5" i="38"/>
  <c r="A20" i="38"/>
  <c r="H38" i="36"/>
  <c r="M39" i="36"/>
  <c r="I19" i="38"/>
  <c r="A22" i="38"/>
  <c r="I31" i="38"/>
  <c r="H36" i="36"/>
  <c r="H40" i="36"/>
  <c r="A15" i="38"/>
  <c r="I23" i="38"/>
  <c r="M12" i="32"/>
  <c r="A11" i="38"/>
  <c r="M37" i="36"/>
  <c r="I27" i="38"/>
  <c r="I11" i="38"/>
  <c r="K15" i="32"/>
  <c r="K12" i="32"/>
  <c r="M38" i="36"/>
  <c r="M40" i="36"/>
  <c r="M36" i="36"/>
  <c r="A23" i="38"/>
  <c r="A21" i="38"/>
  <c r="A7" i="38"/>
  <c r="A5" i="38"/>
  <c r="A3" i="38"/>
  <c r="F5" i="22"/>
  <c r="I30" i="38"/>
  <c r="I29" i="38"/>
  <c r="I28" i="38"/>
  <c r="I7" i="38"/>
  <c r="I6" i="38"/>
  <c r="K14" i="32"/>
  <c r="M35" i="36"/>
  <c r="A31" i="38"/>
  <c r="A30" i="38"/>
  <c r="I22" i="38"/>
  <c r="I21" i="38"/>
  <c r="I20" i="38"/>
  <c r="I4" i="38"/>
  <c r="I3" i="38"/>
  <c r="M14" i="32"/>
  <c r="A28" i="38"/>
  <c r="A27" i="38"/>
  <c r="I14" i="38"/>
  <c r="I13" i="38"/>
  <c r="I12" i="38"/>
  <c r="A14" i="38"/>
  <c r="A13" i="38"/>
  <c r="A12" i="38"/>
  <c r="M13" i="32"/>
  <c r="H35" i="36"/>
  <c r="N57" i="36"/>
  <c r="A6" i="38"/>
  <c r="A4" i="38"/>
  <c r="C35" i="36"/>
  <c r="R35" i="36"/>
  <c r="K13" i="32"/>
  <c r="E8" i="32"/>
  <c r="D8" i="32"/>
  <c r="F4" i="22"/>
  <c r="F12" i="22"/>
  <c r="F16" i="22"/>
  <c r="C16" i="22"/>
  <c r="F6" i="22"/>
  <c r="E6" i="22"/>
  <c r="F13" i="22"/>
  <c r="E13" i="22"/>
  <c r="F7" i="22"/>
  <c r="D7" i="22"/>
  <c r="B13" i="22"/>
  <c r="R21" i="36"/>
  <c r="R37" i="36"/>
  <c r="M67" i="36"/>
  <c r="D13" i="22"/>
  <c r="C13" i="22"/>
  <c r="M65" i="36"/>
  <c r="F15" i="22"/>
  <c r="E15" i="22"/>
  <c r="F8" i="22"/>
  <c r="D8" i="22"/>
  <c r="F14" i="22"/>
  <c r="D14" i="22"/>
  <c r="H65" i="36"/>
  <c r="D16" i="22"/>
  <c r="D4" i="22"/>
  <c r="B4" i="22"/>
  <c r="C6" i="36"/>
  <c r="C36" i="36"/>
  <c r="H66" i="36"/>
  <c r="E4" i="22"/>
  <c r="C4" i="22"/>
  <c r="B6" i="22"/>
  <c r="C8" i="36"/>
  <c r="C38" i="36"/>
  <c r="H68" i="36"/>
  <c r="D15" i="22"/>
  <c r="C15" i="22"/>
  <c r="B15" i="22"/>
  <c r="R23" i="36"/>
  <c r="R39" i="36"/>
  <c r="M69" i="36"/>
  <c r="E14" i="22"/>
  <c r="C7" i="22"/>
  <c r="B7" i="22"/>
  <c r="C9" i="36"/>
  <c r="C39" i="36"/>
  <c r="H69" i="36"/>
  <c r="B12" i="22"/>
  <c r="R20" i="36"/>
  <c r="R36" i="36"/>
  <c r="M66" i="36"/>
  <c r="E12" i="22"/>
  <c r="D12" i="22"/>
  <c r="C12" i="22"/>
  <c r="D5" i="22"/>
  <c r="C5" i="22"/>
  <c r="B5" i="22"/>
  <c r="C7" i="36"/>
  <c r="C37" i="36"/>
  <c r="H67" i="36"/>
  <c r="E5" i="22"/>
  <c r="C6" i="22"/>
  <c r="B8" i="22"/>
  <c r="C10" i="36"/>
  <c r="C40" i="36"/>
  <c r="H70" i="36"/>
  <c r="D6" i="22"/>
  <c r="E16" i="22"/>
  <c r="E7" i="22"/>
  <c r="B16" i="22"/>
  <c r="R24" i="36"/>
  <c r="R40" i="36"/>
  <c r="M70" i="36"/>
  <c r="C8" i="22"/>
  <c r="B14" i="22"/>
  <c r="R22" i="36"/>
  <c r="R38" i="36"/>
  <c r="M68" i="36"/>
  <c r="C14" i="22"/>
  <c r="E8" i="22"/>
</calcChain>
</file>

<file path=xl/sharedStrings.xml><?xml version="1.0" encoding="utf-8"?>
<sst xmlns="http://schemas.openxmlformats.org/spreadsheetml/2006/main" count="201" uniqueCount="75">
  <si>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</si>
  <si>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</si>
  <si>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</si>
  <si>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</si>
  <si>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</si>
  <si>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</si>
  <si>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</si>
  <si>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</si>
  <si>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</si>
  <si>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</si>
  <si>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</si>
  <si>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</si>
  <si>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</si>
  <si>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</si>
  <si>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</si>
  <si>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</si>
  <si>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</si>
  <si>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</si>
  <si>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</si>
  <si>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</si>
  <si>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</si>
  <si>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</si>
  <si>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</si>
  <si>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</si>
  <si>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</si>
  <si>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</si>
  <si>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</si>
  <si>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</si>
  <si>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</si>
  <si>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</si>
  <si>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</si>
  <si>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</si>
  <si>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</si>
  <si>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</si>
  <si>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</si>
  <si>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</si>
  <si>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</si>
  <si>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</si>
  <si>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</si>
  <si>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</si>
  <si>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</si>
  <si>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</si>
  <si>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</si>
  <si>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</si>
  <si>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</si>
  <si>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</si>
  <si>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</si>
  <si>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</si>
  <si>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</si>
  <si>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</si>
  <si>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</si>
  <si>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</si>
  <si>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</si>
  <si>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</si>
  <si>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</si>
  <si>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</si>
  <si>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EXIDEUIL</t>
  </si>
  <si>
    <t>2021-2022</t>
  </si>
  <si>
    <t>CARABINE</t>
  </si>
  <si>
    <t>POITOU CHARENTES</t>
  </si>
  <si>
    <t>GARDRAT Marie Jo</t>
  </si>
  <si>
    <t>06 78 89 06 20</t>
  </si>
  <si>
    <t>jo,gardrat@hotmail,com</t>
  </si>
  <si>
    <t>STAND ANGOUMOISIN</t>
  </si>
  <si>
    <t>COUTURIER Augustin</t>
  </si>
  <si>
    <t>PINALIE-GUITATARD Alexandre</t>
  </si>
  <si>
    <t>OUZAA Eric</t>
  </si>
  <si>
    <t>RAY Lilian</t>
  </si>
  <si>
    <t>VIVIER Séverine</t>
  </si>
  <si>
    <t>STE de TIR COGNAC</t>
  </si>
  <si>
    <t>GARDRAT Marie jo</t>
  </si>
  <si>
    <t>DEBORDE Patricia</t>
  </si>
  <si>
    <t>CORDER Timéo</t>
  </si>
  <si>
    <t>LE LAY Goulvenn</t>
  </si>
  <si>
    <t>AUPRETRE Dominique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</si>
</sst>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1600200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43115</v>
      </c>
      <c r="C4" s="80"/>
    </row>
    <row r="5" spans="1:3" ht="24.95" customHeight="1">
      <c r="A5" s="79" t="s">
        <v>28</v>
      </c>
      <c r="B5" s="6" t="s">
        <v>56</v>
      </c>
      <c r="C5" s="80"/>
    </row>
    <row r="6" spans="1:3" ht="24.95" customHeight="1">
      <c r="A6" s="79" t="s">
        <v>25</v>
      </c>
      <c r="B6" s="46" t="s">
        <v>57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2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T7" activePane="bottomRight" state="frozenSplit"/>
      <selection pane="topRight" activeCell="E1" sqref="E1"/>
      <selection pane="bottomLeft" activeCell="A3" sqref="A3"/>
      <selection pane="bottomRight" activeCell="K7" sqref="K7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8" width="20.125" style="87" customWidth="1"/>
    <col min="9" max="9" width="23.875" style="87" bestFit="1" customWidth="1"/>
    <col min="10" max="10" width="0.5" style="87" customWidth="1"/>
    <col min="11" max="11" width="100.25" style="123" customWidth="1"/>
    <col min="12" max="12" width="20.125" style="124" customWidth="1"/>
    <col min="13" max="14" width="20.125" style="87" customWidth="1"/>
    <col min="15" max="15" width="23.875" style="87" bestFit="1" customWidth="1"/>
    <col min="16" max="16" width="10.625" style="87" hidden="1" customWidth="1"/>
    <col min="17" max="17" width="100.25" style="123" customWidth="1"/>
    <col min="18" max="19" width="20.125" style="87" customWidth="1"/>
    <col min="20" max="20" width="20.125" style="124" customWidth="1"/>
    <col min="21" max="21" width="23.875" style="87" bestFit="1" customWidth="1"/>
    <col min="22" max="22" width="10.75" style="87" hidden="1" customWidth="1"/>
    <col min="23" max="23" width="100.25" style="123" customWidth="1"/>
    <col min="24" max="26" width="20.125" style="87" customWidth="1"/>
    <col min="27" max="27" width="23.875" style="87" bestFit="1" customWidth="1"/>
    <col min="28" max="28" width="10.75" style="87" hidden="1" customWidth="1"/>
    <col min="29" max="29" width="100.25" style="125" customWidth="1"/>
    <col min="30" max="32" width="20.125" style="87" customWidth="1"/>
    <col min="33" max="33" width="23.875" style="87" bestFit="1" customWidth="1"/>
    <col min="34" max="34" width="10.75" style="87" hidden="1" customWidth="1"/>
    <col min="35" max="35" width="26.375" style="87" bestFit="1" customWidth="1"/>
    <col min="36" max="36" width="18.875" style="126" bestFit="1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CARABINE - POITOU CHARENTES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2</v>
      </c>
      <c r="C7" s="97" t="s">
        <v>63</v>
      </c>
      <c r="D7" s="98">
        <v>1716136</v>
      </c>
      <c r="E7" s="99" t="s">
        <v>64</v>
      </c>
      <c r="F7" s="154">
        <v>98.7</v>
      </c>
      <c r="G7" s="154">
        <v>99.2</v>
      </c>
      <c r="H7" s="154">
        <v>99.4</v>
      </c>
      <c r="I7" s="155">
        <f t="shared" ref="I7" si="1">SUM(F7:H7)</f>
        <v>297.3</v>
      </c>
      <c r="J7" s="100"/>
      <c r="K7" s="101" t="s">
        <v>65</v>
      </c>
      <c r="L7" s="154">
        <v>57.9</v>
      </c>
      <c r="M7" s="154">
        <v>62</v>
      </c>
      <c r="N7" s="160">
        <v>66.2</v>
      </c>
      <c r="O7" s="161">
        <f t="shared" ref="O7" si="2">SUM(L7:N7)</f>
        <v>186.10000000000002</v>
      </c>
      <c r="P7" s="102"/>
      <c r="Q7" s="101" t="s">
        <v>66</v>
      </c>
      <c r="R7" s="154">
        <v>83.7</v>
      </c>
      <c r="S7" s="154">
        <v>88.2</v>
      </c>
      <c r="T7" s="160">
        <v>93.4</v>
      </c>
      <c r="U7" s="161">
        <f t="shared" ref="U7" si="3">SUM(R7:T7)</f>
        <v>265.3</v>
      </c>
      <c r="V7" s="102"/>
      <c r="W7" s="101" t="s">
        <v>67</v>
      </c>
      <c r="X7" s="154">
        <v>94.2</v>
      </c>
      <c r="Y7" s="154">
        <v>99.7</v>
      </c>
      <c r="Z7" s="160">
        <v>95.9</v>
      </c>
      <c r="AA7" s="161">
        <f t="shared" ref="AA7" si="4">SUM(X7:Z7)</f>
        <v>289.8</v>
      </c>
      <c r="AB7" s="102"/>
      <c r="AC7" s="101" t="s">
        <v>68</v>
      </c>
      <c r="AD7" s="154">
        <v>94.3</v>
      </c>
      <c r="AE7" s="154">
        <v>94.2</v>
      </c>
      <c r="AF7" s="160">
        <v>92.8</v>
      </c>
      <c r="AG7" s="161">
        <f t="shared" ref="AG7" si="5">SUM(AD7:AF7)</f>
        <v>281.3</v>
      </c>
      <c r="AH7" s="102"/>
      <c r="AI7" s="166">
        <f>SUM(I7+O7+U7+AA7+AG7)</f>
        <v>1319.8</v>
      </c>
      <c r="AJ7" s="103">
        <f>J7+P7+V7+AB7+AH7</f>
        <v>0</v>
      </c>
      <c r="AL7" s="105">
        <f>I7+O7+U7+AA7+AG7+(0.000001*(J7+P7+V7+AB7+AH7))+(0.000000001*(H7+N7+T7+Z7+AF7))+(0.000000000001*(G7+M7+S7+Y7+AE7))</f>
        <v>1319.8000004481432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69</v>
      </c>
      <c r="D8" s="108">
        <v>1716147</v>
      </c>
      <c r="E8" s="109" t="s">
        <v>70</v>
      </c>
      <c r="F8" s="156">
        <v>93</v>
      </c>
      <c r="G8" s="156">
        <v>97.4</v>
      </c>
      <c r="H8" s="156">
        <v>99</v>
      </c>
      <c r="I8" s="157">
        <f>SUM(F8:H8)</f>
        <v>289.39999999999998</v>
      </c>
      <c r="J8" s="110"/>
      <c r="K8" s="111" t="s">
        <v>71</v>
      </c>
      <c r="L8" s="156">
        <v>83.9</v>
      </c>
      <c r="M8" s="156">
        <v>88</v>
      </c>
      <c r="N8" s="162">
        <v>90.8</v>
      </c>
      <c r="O8" s="163">
        <f>SUM(L8:N8)</f>
        <v>262.7</v>
      </c>
      <c r="P8" s="112"/>
      <c r="Q8" s="111" t="s">
        <v>72</v>
      </c>
      <c r="R8" s="156">
        <v>86.1</v>
      </c>
      <c r="S8" s="156">
        <v>85.2</v>
      </c>
      <c r="T8" s="162">
        <v>90.9</v>
      </c>
      <c r="U8" s="163">
        <f>SUM(R8:T8)</f>
        <v>262.20000000000005</v>
      </c>
      <c r="V8" s="112"/>
      <c r="W8" s="111" t="s">
        <v>73</v>
      </c>
      <c r="X8" s="156">
        <v>94.9</v>
      </c>
      <c r="Y8" s="156">
        <v>95.8</v>
      </c>
      <c r="Z8" s="162">
        <v>94.3</v>
      </c>
      <c r="AA8" s="163">
        <f>SUM(X8:Z8)</f>
        <v>285</v>
      </c>
      <c r="AB8" s="112"/>
      <c r="AC8" s="111" t="s">
        <v>74</v>
      </c>
      <c r="AD8" s="156">
        <v>98.1</v>
      </c>
      <c r="AE8" s="156">
        <v>97.9</v>
      </c>
      <c r="AF8" s="162">
        <v>97.3</v>
      </c>
      <c r="AG8" s="163">
        <f>SUM(AD8:AF8)</f>
        <v>293.3</v>
      </c>
      <c r="AH8" s="112"/>
      <c r="AI8" s="167">
        <f>SUM(I8+O8+U8+AA8+AG8)</f>
        <v>1392.6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1392.6000004727641</v>
      </c>
    </row>
    <row r="9" spans="1:38" s="104" customFormat="1" ht="120" customHeight="1">
      <c r="A9" s="106">
        <v>3</v>
      </c>
      <c r="B9" s="152">
        <f t="shared" si="0"/>
        <v>3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3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3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3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3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3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3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3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3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3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3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3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3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3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3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3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3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3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1" orientation="landscape" horizontalDpi="4294967294" verticalDpi="4294967294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5" customWidth="1"/>
    <col min="2" max="2" width="64.75" style="196" bestFit="1" customWidth="1"/>
    <col min="3" max="3" width="30.125" style="196" bestFit="1" customWidth="1"/>
    <col min="4" max="4" width="67.625" style="196" bestFit="1" customWidth="1"/>
    <col min="5" max="7" width="14.75" style="196" customWidth="1"/>
    <col min="8" max="8" width="18.625" style="197" bestFit="1" customWidth="1"/>
    <col min="9" max="9" width="10.75" style="198" hidden="1" customWidth="1"/>
    <col min="10" max="10" width="99.125" style="196" bestFit="1" customWidth="1"/>
    <col min="11" max="13" width="14.75" style="196" customWidth="1"/>
    <col min="14" max="14" width="18.625" style="197" bestFit="1" customWidth="1"/>
    <col min="15" max="15" width="10.75" style="198" hidden="1" customWidth="1"/>
    <col min="16" max="16" width="51" style="196" customWidth="1"/>
    <col min="17" max="19" width="14.75" style="196" customWidth="1"/>
    <col min="20" max="20" width="18.625" style="197" bestFit="1" customWidth="1"/>
    <col min="21" max="21" width="10.75" style="198" hidden="1" customWidth="1"/>
    <col min="22" max="22" width="51" style="196" customWidth="1"/>
    <col min="23" max="25" width="14.75" style="196" customWidth="1"/>
    <col min="26" max="26" width="18.625" style="197" bestFit="1" customWidth="1"/>
    <col min="27" max="27" width="10.75" style="198" hidden="1" customWidth="1"/>
    <col min="28" max="28" width="70.125" style="199" bestFit="1" customWidth="1"/>
    <col min="29" max="31" width="14.75" style="199" customWidth="1"/>
    <col min="32" max="32" width="18.625" style="197" bestFit="1" customWidth="1"/>
    <col min="33" max="33" width="10.875" style="198" hidden="1" customWidth="1"/>
    <col min="34" max="34" width="25.125" style="197" bestFit="1" customWidth="1"/>
    <col min="35" max="35" width="19.125" style="200" hidden="1" customWidth="1"/>
    <col min="36" max="36" width="23.62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72" t="str">
        <f>CONCATENATE("MATCH DE QUALIFICATION"," - ",INFO!B7," - ",INFO!B9)</f>
        <v>MATCH DE QUALIFICATION - CARABINE - POITOU CHARENTES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STE de TIR COGNAC</v>
      </c>
      <c r="C7" s="176">
        <f>VLOOKUP(A7,saisie!B$7:AL$26,3,0)</f>
        <v>1716147</v>
      </c>
      <c r="D7" s="177" t="str">
        <f>VLOOKUP(A7,saisie!B$7:AL$26,4,0)</f>
        <v>GARDRAT Marie jo</v>
      </c>
      <c r="E7" s="178">
        <f>VLOOKUP(A7,saisie!B$7:AL$26,5,0)</f>
        <v>93</v>
      </c>
      <c r="F7" s="178">
        <f>VLOOKUP(A7,saisie!B$7:AL$26,6,0)</f>
        <v>97.4</v>
      </c>
      <c r="G7" s="178">
        <f>VLOOKUP(A7,saisie!B$7:AL$26,7,0)</f>
        <v>99</v>
      </c>
      <c r="H7" s="179">
        <f>VLOOKUP(A7,saisie!B$7:AL$26,8,0)</f>
        <v>289.39999999999998</v>
      </c>
      <c r="I7" s="180">
        <f>VLOOKUP(A7,saisie!B$7:AL$26,9,0)</f>
        <v>0</v>
      </c>
      <c r="J7" s="177" t="str">
        <f>VLOOKUP(A7,saisie!B$7:AL$26,10,0)</f>
        <v>DEBORDE Patricia</v>
      </c>
      <c r="K7" s="178">
        <f>VLOOKUP(A7,saisie!B$7:AL$26,11,0)</f>
        <v>83.9</v>
      </c>
      <c r="L7" s="178">
        <f>VLOOKUP(A7,saisie!B$7:AL$26,12,0)</f>
        <v>88</v>
      </c>
      <c r="M7" s="178">
        <f>VLOOKUP(A7,saisie!B$7:AL$26,13,0)</f>
        <v>90.8</v>
      </c>
      <c r="N7" s="179">
        <f>VLOOKUP(A7,saisie!B$7:AL$26,14,0)</f>
        <v>262.7</v>
      </c>
      <c r="O7" s="180">
        <f>VLOOKUP(A7,saisie!B$7:AL$26,15,0)</f>
        <v>0</v>
      </c>
      <c r="P7" s="177" t="str">
        <f>VLOOKUP(A7,saisie!B$7:AL$26,16,0)</f>
        <v>CORDER Timéo</v>
      </c>
      <c r="Q7" s="178">
        <f>VLOOKUP(A7,saisie!B$7:AL$26,17,0)</f>
        <v>86.1</v>
      </c>
      <c r="R7" s="178">
        <f>VLOOKUP(A7,saisie!B$7:AL$26,18,0)</f>
        <v>85.2</v>
      </c>
      <c r="S7" s="178">
        <f>VLOOKUP(A7,saisie!B$7:AL$26,19,0)</f>
        <v>90.9</v>
      </c>
      <c r="T7" s="179">
        <f>VLOOKUP(A7,saisie!B$7:AL$26,20,0)</f>
        <v>262.20000000000005</v>
      </c>
      <c r="U7" s="180">
        <f>VLOOKUP(A7,saisie!B$7:AL$26,21,0)</f>
        <v>0</v>
      </c>
      <c r="V7" s="177" t="str">
        <f>VLOOKUP(A7,saisie!B$7:AL$26,22,0)</f>
        <v>LE LAY Goulvenn</v>
      </c>
      <c r="W7" s="178">
        <f>VLOOKUP(A7,saisie!B$7:AL$26,23,0)</f>
        <v>94.9</v>
      </c>
      <c r="X7" s="178">
        <f>VLOOKUP(A7,saisie!B$7:AL$26,24,0)</f>
        <v>95.8</v>
      </c>
      <c r="Y7" s="178">
        <f>VLOOKUP(A7,saisie!B$7:AL$26,25,0)</f>
        <v>94.3</v>
      </c>
      <c r="Z7" s="179">
        <f>VLOOKUP(A7,saisie!B$7:AL$26,26,0)</f>
        <v>285</v>
      </c>
      <c r="AA7" s="180">
        <f>VLOOKUP(A7,saisie!B$7:AL$26,27,0)</f>
        <v>0</v>
      </c>
      <c r="AB7" s="177" t="str">
        <f>VLOOKUP(A7,saisie!B$7:AL$26,28,0)</f>
        <v>AUPRETRE Dominique</v>
      </c>
      <c r="AC7" s="178">
        <f>VLOOKUP(A7,saisie!B$7:AL$26,29,0)</f>
        <v>98.1</v>
      </c>
      <c r="AD7" s="178">
        <f>VLOOKUP(A7,saisie!B$7:AL$26,30,0)</f>
        <v>97.9</v>
      </c>
      <c r="AE7" s="178">
        <f>VLOOKUP(A7,saisie!B$7:AL$26,31,0)</f>
        <v>97.3</v>
      </c>
      <c r="AF7" s="179">
        <f>VLOOKUP(A7,saisie!B$7:AL$26,32,0)</f>
        <v>293.3</v>
      </c>
      <c r="AG7" s="180">
        <f>VLOOKUP(A7,saisie!B$7:AL$26,33,0)</f>
        <v>0</v>
      </c>
      <c r="AH7" s="174">
        <f>VLOOKUP(A7,saisie!B$7:AL$26,34,0)</f>
        <v>1392.6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STAND ANGOUMOISIN</v>
      </c>
      <c r="C8" s="176">
        <f>VLOOKUP(A8,saisie!B$7:AL$26,3,0)</f>
        <v>1716136</v>
      </c>
      <c r="D8" s="177" t="str">
        <f>VLOOKUP(A8,saisie!B$7:AL$26,4,0)</f>
        <v>COUTURIER Augustin</v>
      </c>
      <c r="E8" s="178">
        <f>VLOOKUP(A8,saisie!B$7:AL$26,5,0)</f>
        <v>98.7</v>
      </c>
      <c r="F8" s="178">
        <f>VLOOKUP(A8,saisie!B$7:AL$26,6,0)</f>
        <v>99.2</v>
      </c>
      <c r="G8" s="178">
        <f>VLOOKUP(A8,saisie!B$7:AL$26,7,0)</f>
        <v>99.4</v>
      </c>
      <c r="H8" s="179">
        <f>VLOOKUP(A8,saisie!B$7:AL$26,8,0)</f>
        <v>297.3</v>
      </c>
      <c r="I8" s="180">
        <f>VLOOKUP(A8,saisie!B$7:AL$26,9,0)</f>
        <v>0</v>
      </c>
      <c r="J8" s="177" t="str">
        <f>VLOOKUP(A8,saisie!B$7:AL$26,10,0)</f>
        <v>PINALIE-GUITATARD Alexandre</v>
      </c>
      <c r="K8" s="178">
        <f>VLOOKUP(A8,saisie!B$7:AL$26,11,0)</f>
        <v>57.9</v>
      </c>
      <c r="L8" s="178">
        <f>VLOOKUP(A8,saisie!B$7:AL$26,12,0)</f>
        <v>62</v>
      </c>
      <c r="M8" s="178">
        <f>VLOOKUP(A8,saisie!B$7:AL$26,13,0)</f>
        <v>66.2</v>
      </c>
      <c r="N8" s="179">
        <f>VLOOKUP(A8,saisie!B$7:AL$26,14,0)</f>
        <v>186.10000000000002</v>
      </c>
      <c r="O8" s="180">
        <f>VLOOKUP(A8,saisie!B$7:AL$26,15,0)</f>
        <v>0</v>
      </c>
      <c r="P8" s="177" t="str">
        <f>VLOOKUP(A8,saisie!B$7:AL$26,16,0)</f>
        <v>OUZAA Eric</v>
      </c>
      <c r="Q8" s="178">
        <f>VLOOKUP(A8,saisie!B$7:AL$26,17,0)</f>
        <v>83.7</v>
      </c>
      <c r="R8" s="178">
        <f>VLOOKUP(A8,saisie!B$7:AL$26,18,0)</f>
        <v>88.2</v>
      </c>
      <c r="S8" s="178">
        <f>VLOOKUP(A8,saisie!B$7:AL$26,19,0)</f>
        <v>93.4</v>
      </c>
      <c r="T8" s="179">
        <f>VLOOKUP(A8,saisie!B$7:AL$26,20,0)</f>
        <v>265.3</v>
      </c>
      <c r="U8" s="180">
        <f>VLOOKUP(A8,saisie!B$7:AL$26,21,0)</f>
        <v>0</v>
      </c>
      <c r="V8" s="177" t="str">
        <f>VLOOKUP(A8,saisie!B$7:AL$26,22,0)</f>
        <v>RAY Lilian</v>
      </c>
      <c r="W8" s="178">
        <f>VLOOKUP(A8,saisie!B$7:AL$26,23,0)</f>
        <v>94.2</v>
      </c>
      <c r="X8" s="178">
        <f>VLOOKUP(A8,saisie!B$7:AL$26,24,0)</f>
        <v>99.7</v>
      </c>
      <c r="Y8" s="178">
        <f>VLOOKUP(A8,saisie!B$7:AL$26,25,0)</f>
        <v>95.9</v>
      </c>
      <c r="Z8" s="179">
        <f>VLOOKUP(A8,saisie!B$7:AL$26,26,0)</f>
        <v>289.8</v>
      </c>
      <c r="AA8" s="180">
        <f>VLOOKUP(A8,saisie!B$7:AL$26,27,0)</f>
        <v>0</v>
      </c>
      <c r="AB8" s="177" t="str">
        <f>VLOOKUP(A8,saisie!B$7:AL$26,28,0)</f>
        <v>VIVIER Séverine</v>
      </c>
      <c r="AC8" s="178">
        <f>VLOOKUP(A8,saisie!B$7:AL$26,29,0)</f>
        <v>94.3</v>
      </c>
      <c r="AD8" s="178">
        <f>VLOOKUP(A8,saisie!B$7:AL$26,30,0)</f>
        <v>94.2</v>
      </c>
      <c r="AE8" s="178">
        <f>VLOOKUP(A8,saisie!B$7:AL$26,31,0)</f>
        <v>92.8</v>
      </c>
      <c r="AF8" s="179">
        <f>VLOOKUP(A8,saisie!B$7:AL$26,32,0)</f>
        <v>281.3</v>
      </c>
      <c r="AG8" s="180">
        <f>VLOOKUP(A8,saisie!B$7:AL$26,33,0)</f>
        <v>0</v>
      </c>
      <c r="AH8" s="174">
        <f>VLOOKUP(A8,saisie!B$7:AL$26,34,0)</f>
        <v>1319.8</v>
      </c>
      <c r="AI8" s="181">
        <f>VLOOKUP(A8,saisie!B$7:AL$26,35,0)</f>
        <v>0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STE de TIR COGNAC</v>
      </c>
      <c r="D1" s="67"/>
      <c r="E1" s="67"/>
      <c r="F1" s="67">
        <f>'M Q'!AH7</f>
        <v>1392.6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289.40000990973999</v>
      </c>
      <c r="B3" s="68" t="str">
        <f>'M Q'!D7</f>
        <v>GARDRAT Marie jo</v>
      </c>
      <c r="C3" s="67">
        <f>'M Q'!E7</f>
        <v>93</v>
      </c>
      <c r="D3" s="67">
        <f>'M Q'!F7</f>
        <v>97.4</v>
      </c>
      <c r="E3" s="67">
        <f>'M Q'!G7</f>
        <v>99</v>
      </c>
      <c r="F3" s="67">
        <f>'M Q'!H7</f>
        <v>289.39999999999998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262.70000908879996</v>
      </c>
      <c r="B4" s="68" t="str">
        <f>'M Q'!J7</f>
        <v>DEBORDE Patricia</v>
      </c>
      <c r="C4" s="67">
        <f>'M Q'!K7</f>
        <v>83.9</v>
      </c>
      <c r="D4" s="67">
        <f>'M Q'!L7</f>
        <v>88</v>
      </c>
      <c r="E4" s="67">
        <f>'M Q'!M7</f>
        <v>90.8</v>
      </c>
      <c r="F4" s="67">
        <f>'M Q'!N7</f>
        <v>262.7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262.20000909852001</v>
      </c>
      <c r="B5" s="68" t="str">
        <f>'M Q'!P7</f>
        <v>CORDER Timéo</v>
      </c>
      <c r="C5" s="67">
        <f>'M Q'!Q7</f>
        <v>86.1</v>
      </c>
      <c r="D5" s="67">
        <f>'M Q'!R7</f>
        <v>85.2</v>
      </c>
      <c r="E5" s="67">
        <f>'M Q'!S7</f>
        <v>90.9</v>
      </c>
      <c r="F5" s="67">
        <f>'M Q'!T7</f>
        <v>262.20000000000005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285.00000943957997</v>
      </c>
      <c r="B6" s="68" t="str">
        <f>'M Q'!V7</f>
        <v>LE LAY Goulvenn</v>
      </c>
      <c r="C6" s="67">
        <f>'M Q'!W7</f>
        <v>94.9</v>
      </c>
      <c r="D6" s="67">
        <f>'M Q'!X7</f>
        <v>95.8</v>
      </c>
      <c r="E6" s="67">
        <f>'M Q'!Y7</f>
        <v>94.3</v>
      </c>
      <c r="F6" s="67">
        <f>'M Q'!Z7</f>
        <v>285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293.30000973979003</v>
      </c>
      <c r="B7" s="68" t="str">
        <f>'M Q'!AB7</f>
        <v>AUPRETRE Dominique</v>
      </c>
      <c r="C7" s="67">
        <f>'M Q'!AC7</f>
        <v>98.1</v>
      </c>
      <c r="D7" s="67">
        <f>'M Q'!AD7</f>
        <v>97.9</v>
      </c>
      <c r="E7" s="67">
        <f>'M Q'!AE7</f>
        <v>97.3</v>
      </c>
      <c r="F7" s="67">
        <f>'M Q'!AF7</f>
        <v>293.3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STAND ANGOUMOISIN</v>
      </c>
      <c r="D9" s="68"/>
      <c r="E9" s="68"/>
      <c r="F9" s="67">
        <f>'M Q'!AH8</f>
        <v>1319.8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297.30000994991997</v>
      </c>
      <c r="B11" s="68" t="str">
        <f>'M Q'!D8</f>
        <v>COUTURIER Augustin</v>
      </c>
      <c r="C11" s="67">
        <f>'M Q'!E8</f>
        <v>98.7</v>
      </c>
      <c r="D11" s="67">
        <f>'M Q'!F8</f>
        <v>99.2</v>
      </c>
      <c r="E11" s="67">
        <f>'M Q'!G8</f>
        <v>99.4</v>
      </c>
      <c r="F11" s="67">
        <f>'M Q'!H8</f>
        <v>297.3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186.10000662620001</v>
      </c>
      <c r="B12" s="68" t="str">
        <f>'M Q'!J8</f>
        <v>PINALIE-GUITATARD Alexandre</v>
      </c>
      <c r="C12" s="67">
        <f>'M Q'!K8</f>
        <v>57.9</v>
      </c>
      <c r="D12" s="67">
        <f>'M Q'!L8</f>
        <v>62</v>
      </c>
      <c r="E12" s="67">
        <f>'M Q'!M8</f>
        <v>66.2</v>
      </c>
      <c r="F12" s="67">
        <f>'M Q'!N8</f>
        <v>186.10000000000002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265.30000934882003</v>
      </c>
      <c r="B13" s="68" t="str">
        <f>'M Q'!P8</f>
        <v>OUZAA Eric</v>
      </c>
      <c r="C13" s="67">
        <f>'M Q'!Q8</f>
        <v>83.7</v>
      </c>
      <c r="D13" s="67">
        <f>'M Q'!R8</f>
        <v>88.2</v>
      </c>
      <c r="E13" s="67">
        <f>'M Q'!S8</f>
        <v>93.4</v>
      </c>
      <c r="F13" s="67">
        <f>'M Q'!T8</f>
        <v>265.3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289.80000959997</v>
      </c>
      <c r="B14" s="68" t="str">
        <f>'M Q'!V8</f>
        <v>RAY Lilian</v>
      </c>
      <c r="C14" s="67">
        <f>'M Q'!W8</f>
        <v>94.2</v>
      </c>
      <c r="D14" s="67">
        <f>'M Q'!X8</f>
        <v>99.7</v>
      </c>
      <c r="E14" s="67">
        <f>'M Q'!Y8</f>
        <v>95.9</v>
      </c>
      <c r="F14" s="67">
        <f>'M Q'!Z8</f>
        <v>289.8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281.30000928941996</v>
      </c>
      <c r="B15" s="68" t="str">
        <f>'M Q'!AB8</f>
        <v>VIVIER Séverine</v>
      </c>
      <c r="C15" s="67">
        <f>'M Q'!AC8</f>
        <v>94.3</v>
      </c>
      <c r="D15" s="67">
        <f>'M Q'!AD8</f>
        <v>94.2</v>
      </c>
      <c r="E15" s="67">
        <f>'M Q'!AE8</f>
        <v>92.8</v>
      </c>
      <c r="F15" s="67">
        <f>'M Q'!AF8</f>
        <v>281.3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375" style="202" customWidth="1"/>
    <col min="7" max="7" width="3.75" style="202" customWidth="1"/>
    <col min="8" max="8" width="25.75" style="202" customWidth="1"/>
    <col min="9" max="11" width="10.75" style="202" customWidth="1"/>
    <col min="12" max="12" width="8.375" style="202" customWidth="1"/>
    <col min="13" max="13" width="5.7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STE de TIR COGNAC</v>
      </c>
      <c r="D2" s="290"/>
      <c r="E2" s="290"/>
      <c r="F2" s="205">
        <f>'Clb Q (2)'!F1</f>
        <v>1392.6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AUPRETRE Dominique</v>
      </c>
      <c r="C4" s="212">
        <f>VLOOKUP(F4,'Clb Q (2)'!A$3:G$7,3,0)</f>
        <v>98.1</v>
      </c>
      <c r="D4" s="213">
        <f>VLOOKUP(F4,'Clb Q (2)'!A$3:G$7,4,0)</f>
        <v>97.9</v>
      </c>
      <c r="E4" s="214">
        <f>VLOOKUP(F4,'Clb Q (2)'!A$3:G$7,5,0)</f>
        <v>97.3</v>
      </c>
      <c r="F4" s="211">
        <f>LARGE('Clb Q (2)'!A$3:A$7,1)</f>
        <v>293.30000973979003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GARDRAT Marie jo</v>
      </c>
      <c r="C5" s="212">
        <f>VLOOKUP(F5,'Clb Q (2)'!A$3:G$7,3,0)</f>
        <v>93</v>
      </c>
      <c r="D5" s="213">
        <f>VLOOKUP(F5,'Clb Q (2)'!A$3:G$7,4,0)</f>
        <v>97.4</v>
      </c>
      <c r="E5" s="214">
        <f>VLOOKUP(F5,'Clb Q (2)'!A$3:G$7,5,0)</f>
        <v>99</v>
      </c>
      <c r="F5" s="211">
        <f>LARGE('Clb Q (2)'!A$3:A$7,2)</f>
        <v>289.40000990973999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LE LAY Goulvenn</v>
      </c>
      <c r="C6" s="212">
        <f>VLOOKUP(F6,'Clb Q (2)'!A$3:G$7,3,0)</f>
        <v>94.9</v>
      </c>
      <c r="D6" s="213">
        <f>VLOOKUP(F6,'Clb Q (2)'!A$3:G$7,4,0)</f>
        <v>95.8</v>
      </c>
      <c r="E6" s="214">
        <f>VLOOKUP(F6,'Clb Q (2)'!A$3:G$7,5,0)</f>
        <v>94.3</v>
      </c>
      <c r="F6" s="211">
        <f>LARGE('Clb Q (2)'!A$3:A$7,3)</f>
        <v>285.00000943957997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DEBORDE Patricia</v>
      </c>
      <c r="C7" s="212">
        <f>VLOOKUP(F7,'Clb Q (2)'!A$3:G$7,3,0)</f>
        <v>83.9</v>
      </c>
      <c r="D7" s="213">
        <f>VLOOKUP(F7,'Clb Q (2)'!A$3:G$7,4,0)</f>
        <v>88</v>
      </c>
      <c r="E7" s="214">
        <f>VLOOKUP(F7,'Clb Q (2)'!A$3:G$7,5,0)</f>
        <v>90.8</v>
      </c>
      <c r="F7" s="211">
        <f>LARGE('Clb Q (2)'!A$3:A$7,4)</f>
        <v>262.70000908879996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CORDER Timéo</v>
      </c>
      <c r="C8" s="216">
        <f>VLOOKUP(F8,'Clb Q (2)'!A$3:G$7,3,0)</f>
        <v>86.1</v>
      </c>
      <c r="D8" s="217">
        <f>VLOOKUP(F8,'Clb Q (2)'!A$3:G$7,4,0)</f>
        <v>85.2</v>
      </c>
      <c r="E8" s="218">
        <f>VLOOKUP(F8,'Clb Q (2)'!A$3:G$7,5,0)</f>
        <v>90.9</v>
      </c>
      <c r="F8" s="215">
        <f>LARGE('Clb Q (2)'!A$3:A$7,5)</f>
        <v>262.20000909852001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STAND ANGOUMOISIN</v>
      </c>
      <c r="D10" s="290"/>
      <c r="E10" s="290"/>
      <c r="F10" s="205">
        <f>'Clb Q (2)'!F9</f>
        <v>1319.8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COUTURIER Augustin</v>
      </c>
      <c r="C12" s="212">
        <f>VLOOKUP(F12,'Clb Q (2)'!A$11:G$15,3,0)</f>
        <v>98.7</v>
      </c>
      <c r="D12" s="213">
        <f>VLOOKUP(F12,'Clb Q (2)'!A$11:G$15,4,0)</f>
        <v>99.2</v>
      </c>
      <c r="E12" s="214">
        <f>VLOOKUP(F12,'Clb Q (2)'!A$11:G$15,5,0)</f>
        <v>99.4</v>
      </c>
      <c r="F12" s="211">
        <f>LARGE('Clb Q (2)'!A$11:A$15,1)</f>
        <v>297.30000994991997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RAY Lilian</v>
      </c>
      <c r="C13" s="212">
        <f>VLOOKUP(F13,'Clb Q (2)'!A$11:G$15,3,0)</f>
        <v>94.2</v>
      </c>
      <c r="D13" s="213">
        <f>VLOOKUP(F13,'Clb Q (2)'!A$11:G$15,4,0)</f>
        <v>99.7</v>
      </c>
      <c r="E13" s="214">
        <f>VLOOKUP(F13,'Clb Q (2)'!A$11:G$15,5,0)</f>
        <v>95.9</v>
      </c>
      <c r="F13" s="211">
        <f>LARGE('Clb Q (2)'!A$11:A$15,2)</f>
        <v>289.80000959997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VIVIER Séverine</v>
      </c>
      <c r="C14" s="212">
        <f>VLOOKUP(F14,'Clb Q (2)'!A$11:G$15,3,0)</f>
        <v>94.3</v>
      </c>
      <c r="D14" s="213">
        <f>VLOOKUP(F14,'Clb Q (2)'!A$11:G$15,4,0)</f>
        <v>94.2</v>
      </c>
      <c r="E14" s="214">
        <f>VLOOKUP(F14,'Clb Q (2)'!A$11:G$15,5,0)</f>
        <v>92.8</v>
      </c>
      <c r="F14" s="211">
        <f>LARGE('Clb Q (2)'!A$11:A$15,3)</f>
        <v>281.30000928941996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OUZAA Eric</v>
      </c>
      <c r="C15" s="212">
        <f>VLOOKUP(F15,'Clb Q (2)'!A$11:G$15,3,0)</f>
        <v>83.7</v>
      </c>
      <c r="D15" s="213">
        <f>VLOOKUP(F15,'Clb Q (2)'!A$11:G$15,4,0)</f>
        <v>88.2</v>
      </c>
      <c r="E15" s="214">
        <f>VLOOKUP(F15,'Clb Q (2)'!A$11:G$15,5,0)</f>
        <v>93.4</v>
      </c>
      <c r="F15" s="211">
        <f>LARGE('Clb Q (2)'!A$11:A$15,4)</f>
        <v>265.30000934882003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PINALIE-GUITATARD Alexandre</v>
      </c>
      <c r="C16" s="216">
        <f>VLOOKUP(F16,'Clb Q (2)'!A$11:G$15,3,0)</f>
        <v>57.9</v>
      </c>
      <c r="D16" s="217">
        <f>VLOOKUP(F16,'Clb Q (2)'!A$11:G$15,4,0)</f>
        <v>62</v>
      </c>
      <c r="E16" s="218">
        <f>VLOOKUP(F16,'Clb Q (2)'!A$11:G$15,5,0)</f>
        <v>66.2</v>
      </c>
      <c r="F16" s="215">
        <f>LARGE('Clb Q (2)'!A$11:A$15,5)</f>
        <v>186.10000662620001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68" activePane="bottomLeft" state="frozenSplit"/>
      <selection activeCell="B12" sqref="B12"/>
      <selection pane="bottomLeft" activeCell="M74" sqref="M74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CARABINE - POITOU CHARENTES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STE de TIR COGNAC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/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1.95" customHeight="1" outlineLevel="1">
      <c r="C6" s="321" t="str">
        <f>'Clb Q'!B4</f>
        <v>AUPRETRE Dominique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/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1.95" customHeight="1" outlineLevel="1">
      <c r="C7" s="321" t="str">
        <f>'Clb Q'!B5</f>
        <v>GARDRAT Marie jo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/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1.95" customHeight="1" outlineLevel="1">
      <c r="C8" s="321" t="str">
        <f>'Clb Q'!B6</f>
        <v>LE LAY Goulvenn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/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1.95" customHeight="1" outlineLevel="1">
      <c r="C9" s="321" t="str">
        <f>'Clb Q'!B7</f>
        <v>DEBORDE Patricia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/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1.95" customHeight="1" outlineLevel="1" thickBot="1">
      <c r="C10" s="321" t="str">
        <f>'Clb Q'!B8</f>
        <v>CORDER Timéo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/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1.95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/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STAND ANGOUMOISIN</v>
      </c>
      <c r="S19" s="325"/>
      <c r="T19" s="326"/>
      <c r="V19" s="30"/>
    </row>
    <row r="20" spans="2:22" s="31" customFormat="1" ht="21.95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/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COUTURIER Augustin</v>
      </c>
      <c r="S20" s="322"/>
      <c r="T20" s="323"/>
      <c r="V20" s="33"/>
    </row>
    <row r="21" spans="2:22" s="31" customFormat="1" ht="21.95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/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RAY Lilian</v>
      </c>
      <c r="S21" s="322"/>
      <c r="T21" s="323"/>
      <c r="V21" s="33"/>
    </row>
    <row r="22" spans="2:22" s="31" customFormat="1" ht="21.95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/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VIVIER Séverine</v>
      </c>
      <c r="S22" s="322"/>
      <c r="T22" s="323"/>
      <c r="V22" s="33"/>
    </row>
    <row r="23" spans="2:22" s="31" customFormat="1" ht="21.95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/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OUZAA Eric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/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PINALIE-GUITATARD Alexandre</v>
      </c>
      <c r="S24" s="322"/>
      <c r="T24" s="323"/>
      <c r="V24" s="33"/>
    </row>
    <row r="25" spans="2:22" ht="21.95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STE de TIR COGNAC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/>
      </c>
      <c r="I35" s="333"/>
      <c r="J35" s="334"/>
      <c r="K35" s="61"/>
      <c r="L35" s="29"/>
      <c r="M35" s="332" t="str">
        <f>IF(R5="",M5,IF(M11="","",IF(S11="","",IF(M11&gt;3,M5,IF(S11&gt;3,R5,"")))))</f>
        <v/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STAND ANGOUMOISIN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AUPRETRE Dominique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/>
      </c>
      <c r="I36" s="306"/>
      <c r="J36" s="307"/>
      <c r="K36" s="61"/>
      <c r="L36" s="32"/>
      <c r="M36" s="305" t="str">
        <f>IF(R6="",M6,IF(M11="","",IF(S11="","",IF(M11&gt;3,M6,IF(S11&gt;3,R6,"")))))</f>
        <v/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COUTURIER Augustin</v>
      </c>
      <c r="S36" s="306"/>
      <c r="T36" s="307"/>
      <c r="U36" s="60"/>
    </row>
    <row r="37" spans="2:22" s="31" customFormat="1" ht="21.95" customHeight="1" outlineLevel="1">
      <c r="C37" s="305" t="str">
        <f>IF(H7="",C7,IF(C11="","",IF(I11="","",IF(C11&gt;3,C7,IF(I11&gt;3,H7,"")))))</f>
        <v>GARDRAT Marie jo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/>
      </c>
      <c r="I37" s="306"/>
      <c r="J37" s="307"/>
      <c r="K37" s="61"/>
      <c r="L37" s="32"/>
      <c r="M37" s="305" t="str">
        <f>IF(R7="",M7,IF(M11="","",IF(S11="","",IF(M11&gt;3,M7,IF(S11&gt;3,R7,"")))))</f>
        <v/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RAY Lilian</v>
      </c>
      <c r="S37" s="306"/>
      <c r="T37" s="307"/>
      <c r="U37" s="60"/>
    </row>
    <row r="38" spans="2:22" s="31" customFormat="1" ht="21.95" customHeight="1" outlineLevel="1">
      <c r="C38" s="305" t="str">
        <f>IF(H8="",C8,IF(C11="","",IF(I11="","",IF(C11&gt;3,C8,IF(I11&gt;3,H8,"")))))</f>
        <v>LE LAY Goulvenn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/>
      </c>
      <c r="I38" s="306"/>
      <c r="J38" s="307"/>
      <c r="K38" s="61"/>
      <c r="L38" s="32"/>
      <c r="M38" s="305" t="str">
        <f>IF(R8="",M8,IF(M11="","",IF(S11="","",IF(M11&gt;3,M8,IF(S11&gt;3,R8,"")))))</f>
        <v/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VIVIER Séverine</v>
      </c>
      <c r="S38" s="306"/>
      <c r="T38" s="307"/>
      <c r="U38" s="60"/>
    </row>
    <row r="39" spans="2:22" s="31" customFormat="1" ht="21.95" customHeight="1" outlineLevel="1">
      <c r="C39" s="305" t="str">
        <f>IF(H9="",C9,IF(C11="","",IF(I11="","",IF(C11&gt;3,C9,IF(I11&gt;3,H9,"")))))</f>
        <v>DEBORDE Patricia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/>
      </c>
      <c r="I39" s="306"/>
      <c r="J39" s="307"/>
      <c r="K39" s="61"/>
      <c r="L39" s="32"/>
      <c r="M39" s="305" t="str">
        <f>IF(R9="",M9,IF(M11="","",IF(S11="","",IF(M11&gt;3,M9,IF(S11&gt;3,R9,"")))))</f>
        <v/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OUZAA Eric</v>
      </c>
      <c r="S39" s="306"/>
      <c r="T39" s="307"/>
      <c r="U39" s="60"/>
    </row>
    <row r="40" spans="2:22" s="31" customFormat="1" ht="21.95" customHeight="1" outlineLevel="1" thickBot="1">
      <c r="C40" s="305" t="str">
        <f>IF(H10="",C10,IF(C11="","",IF(I11="","",IF(C11&gt;3,C10,IF(I11&gt;3,H10,"")))))</f>
        <v>CORDER Timéo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/>
      </c>
      <c r="I40" s="306"/>
      <c r="J40" s="307"/>
      <c r="K40" s="61"/>
      <c r="L40" s="32"/>
      <c r="M40" s="305" t="str">
        <f>IF(R10="",M10,IF(M11="","",IF(S11="","",IF(M11&gt;3,M10,IF(S11&gt;3,R10,"")))))</f>
        <v/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PINALIE-GUITATARD Alexandre</v>
      </c>
      <c r="S40" s="306"/>
      <c r="T40" s="307"/>
      <c r="U40" s="60"/>
    </row>
    <row r="41" spans="2:22" ht="21.95" customHeight="1">
      <c r="B41" s="34" t="str">
        <f>IF(E41="","",IF(E41&gt;2,1,0))</f>
        <v/>
      </c>
      <c r="C41" s="297" t="str">
        <f>IF(E41="","",SUM(B41:B47))</f>
        <v/>
      </c>
      <c r="D41" s="298"/>
      <c r="E41" s="74"/>
      <c r="F41" s="302"/>
      <c r="G41" s="303"/>
      <c r="H41" s="74"/>
      <c r="I41" s="327" t="str">
        <f>IF(H41="","",SUM(K41:K47))</f>
        <v/>
      </c>
      <c r="J41" s="297"/>
      <c r="K41" s="59" t="str">
        <f>IF(H41="","",IF(H41&gt;2,1,0))</f>
        <v/>
      </c>
      <c r="L41" s="39" t="str">
        <f>IF(O41="","",IF(O41&gt;2,1,0))</f>
        <v/>
      </c>
      <c r="M41" s="297" t="str">
        <f>IF(O41="","",SUM(L41:L47))</f>
        <v/>
      </c>
      <c r="N41" s="298"/>
      <c r="O41" s="74"/>
      <c r="P41" s="302"/>
      <c r="Q41" s="303"/>
      <c r="R41" s="74"/>
      <c r="S41" s="327" t="str">
        <f>IF(R41="","",SUM(U41:U47))</f>
        <v/>
      </c>
      <c r="T41" s="297"/>
      <c r="U41" s="59" t="str">
        <f>IF(R41="","",IF(R41&gt;2,1,0))</f>
        <v/>
      </c>
      <c r="V41" s="35"/>
    </row>
    <row r="42" spans="2:22" ht="21.95" customHeight="1">
      <c r="B42" s="34" t="str">
        <f t="shared" ref="B42:B47" si="8">IF(E42="","",IF(E42&gt;2,1,0))</f>
        <v/>
      </c>
      <c r="C42" s="299"/>
      <c r="D42" s="300"/>
      <c r="E42" s="75"/>
      <c r="F42" s="293"/>
      <c r="G42" s="294"/>
      <c r="H42" s="75"/>
      <c r="I42" s="328"/>
      <c r="J42" s="299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9"/>
      <c r="N42" s="300"/>
      <c r="O42" s="75"/>
      <c r="P42" s="293"/>
      <c r="Q42" s="294"/>
      <c r="R42" s="75"/>
      <c r="S42" s="328"/>
      <c r="T42" s="299"/>
      <c r="U42" s="59" t="str">
        <f t="shared" ref="U42:U47" si="11">IF(R42="","",IF(R42&gt;2,1,0))</f>
        <v/>
      </c>
      <c r="V42" s="35"/>
    </row>
    <row r="43" spans="2:22" ht="21.95" customHeight="1">
      <c r="B43" s="34" t="str">
        <f t="shared" si="8"/>
        <v/>
      </c>
      <c r="C43" s="299"/>
      <c r="D43" s="300"/>
      <c r="E43" s="75"/>
      <c r="F43" s="293"/>
      <c r="G43" s="294"/>
      <c r="H43" s="75"/>
      <c r="I43" s="328"/>
      <c r="J43" s="299"/>
      <c r="K43" s="59" t="str">
        <f t="shared" si="9"/>
        <v/>
      </c>
      <c r="L43" s="39" t="str">
        <f t="shared" si="10"/>
        <v/>
      </c>
      <c r="M43" s="299"/>
      <c r="N43" s="300"/>
      <c r="O43" s="75"/>
      <c r="P43" s="293"/>
      <c r="Q43" s="294"/>
      <c r="R43" s="75"/>
      <c r="S43" s="328"/>
      <c r="T43" s="299"/>
      <c r="U43" s="59" t="str">
        <f t="shared" si="11"/>
        <v/>
      </c>
      <c r="V43" s="35"/>
    </row>
    <row r="44" spans="2:22" ht="21.95" customHeight="1">
      <c r="B44" s="34" t="str">
        <f t="shared" si="8"/>
        <v/>
      </c>
      <c r="C44" s="299"/>
      <c r="D44" s="300"/>
      <c r="E44" s="75"/>
      <c r="F44" s="293"/>
      <c r="G44" s="294"/>
      <c r="H44" s="75"/>
      <c r="I44" s="328"/>
      <c r="J44" s="299"/>
      <c r="K44" s="59" t="str">
        <f t="shared" si="9"/>
        <v/>
      </c>
      <c r="L44" s="39" t="str">
        <f t="shared" si="10"/>
        <v/>
      </c>
      <c r="M44" s="299"/>
      <c r="N44" s="300"/>
      <c r="O44" s="75"/>
      <c r="P44" s="293"/>
      <c r="Q44" s="294"/>
      <c r="R44" s="75"/>
      <c r="S44" s="328"/>
      <c r="T44" s="299"/>
      <c r="U44" s="59" t="str">
        <f t="shared" si="11"/>
        <v/>
      </c>
      <c r="V44" s="35"/>
    </row>
    <row r="45" spans="2:22" ht="21.95" customHeight="1">
      <c r="B45" s="34" t="str">
        <f t="shared" si="8"/>
        <v/>
      </c>
      <c r="C45" s="299"/>
      <c r="D45" s="300"/>
      <c r="E45" s="75"/>
      <c r="F45" s="293"/>
      <c r="G45" s="294"/>
      <c r="H45" s="75"/>
      <c r="I45" s="328"/>
      <c r="J45" s="299"/>
      <c r="K45" s="59" t="str">
        <f t="shared" si="9"/>
        <v/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1.95" customHeight="1">
      <c r="B46" s="34" t="str">
        <f t="shared" si="8"/>
        <v/>
      </c>
      <c r="C46" s="299"/>
      <c r="D46" s="300"/>
      <c r="E46" s="75"/>
      <c r="F46" s="293"/>
      <c r="G46" s="294"/>
      <c r="H46" s="75"/>
      <c r="I46" s="328"/>
      <c r="J46" s="299"/>
      <c r="K46" s="59" t="str">
        <f t="shared" si="9"/>
        <v/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/>
      </c>
      <c r="I51" s="330"/>
      <c r="J51" s="331"/>
      <c r="K51" s="295" t="s">
        <v>45</v>
      </c>
      <c r="L51" s="296"/>
      <c r="M51" s="329" t="str">
        <f>IF(M41="","",IF(S41="","",IF(M41&gt;3,R35,IF(S41&gt;3,M35,""))))</f>
        <v/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/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/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/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/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/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/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/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/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/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/>
      </c>
      <c r="N56" s="314"/>
      <c r="O56" s="315"/>
      <c r="P56" s="301"/>
      <c r="Q56" s="291"/>
    </row>
    <row r="57" spans="2:22" ht="21.95" customHeight="1">
      <c r="G57" s="34" t="str">
        <f>IF(J57="","",IF(J57&gt;2,1,0))</f>
        <v/>
      </c>
      <c r="H57" s="297" t="str">
        <f>IF(J57="","",SUM(G57:G63))</f>
        <v/>
      </c>
      <c r="I57" s="298"/>
      <c r="J57" s="74"/>
      <c r="K57" s="302"/>
      <c r="L57" s="303"/>
      <c r="M57" s="74"/>
      <c r="N57" s="327" t="str">
        <f>IF(H35="",IF(M51="","",4),IF(M57="","",SUM(P57:P63)))</f>
        <v/>
      </c>
      <c r="O57" s="297"/>
      <c r="P57" s="59" t="str">
        <f>IF(M57="","",IF(M57&gt;2,1,0))</f>
        <v/>
      </c>
    </row>
    <row r="58" spans="2:22" ht="21.95" customHeight="1">
      <c r="G58" s="34" t="str">
        <f t="shared" ref="G58:G63" si="12">IF(J58="","",IF(J58&gt;2,1,0))</f>
        <v/>
      </c>
      <c r="H58" s="299"/>
      <c r="I58" s="300"/>
      <c r="J58" s="75"/>
      <c r="K58" s="293"/>
      <c r="L58" s="294"/>
      <c r="M58" s="75"/>
      <c r="N58" s="328"/>
      <c r="O58" s="299"/>
      <c r="P58" s="59" t="str">
        <f t="shared" ref="P58:P63" si="13">IF(M58="","",IF(M58&gt;2,1,0))</f>
        <v/>
      </c>
    </row>
    <row r="59" spans="2:22" ht="21.95" customHeight="1">
      <c r="G59" s="34" t="str">
        <f t="shared" si="12"/>
        <v/>
      </c>
      <c r="H59" s="299"/>
      <c r="I59" s="300"/>
      <c r="J59" s="75"/>
      <c r="K59" s="293"/>
      <c r="L59" s="294"/>
      <c r="M59" s="75"/>
      <c r="N59" s="328"/>
      <c r="O59" s="299"/>
      <c r="P59" s="59" t="str">
        <f t="shared" si="13"/>
        <v/>
      </c>
    </row>
    <row r="60" spans="2:22" ht="21.95" customHeight="1">
      <c r="G60" s="34" t="str">
        <f t="shared" si="12"/>
        <v/>
      </c>
      <c r="H60" s="299"/>
      <c r="I60" s="300"/>
      <c r="J60" s="75"/>
      <c r="K60" s="293"/>
      <c r="L60" s="294"/>
      <c r="M60" s="75"/>
      <c r="N60" s="328"/>
      <c r="O60" s="299"/>
      <c r="P60" s="59" t="str">
        <f t="shared" si="13"/>
        <v/>
      </c>
    </row>
    <row r="61" spans="2:22" ht="21.95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1.95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STE de TIR COGNAC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STAND ANGOUMOISIN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AUPRETRE Dominique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COUTURIER Augustin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GARDRAT Marie jo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RAY Lilian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LE LAY Goulvenn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VIVIER Séverine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DEBORDE Patricia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OUZAA Eric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CORDER Timéo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PINALIE-GUITATARD Alexandre</v>
      </c>
      <c r="N70" s="317"/>
      <c r="O70" s="318"/>
      <c r="P70" s="308"/>
      <c r="Q70" s="309"/>
    </row>
    <row r="71" spans="1:17" ht="21.95" customHeight="1">
      <c r="A71" s="35"/>
      <c r="G71" s="39">
        <f>IF(J71="","",IF(J71&gt;2,1,0))</f>
        <v>1</v>
      </c>
      <c r="H71" s="297">
        <f>IF(J71="","",SUM(G71:G77))</f>
        <v>4</v>
      </c>
      <c r="I71" s="298"/>
      <c r="J71" s="74">
        <v>3</v>
      </c>
      <c r="K71" s="302"/>
      <c r="L71" s="303"/>
      <c r="M71" s="74">
        <v>2</v>
      </c>
      <c r="N71" s="327">
        <f>IF(M71="","",SUM(P71:P77))</f>
        <v>1</v>
      </c>
      <c r="O71" s="297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9"/>
      <c r="I72" s="300"/>
      <c r="J72" s="75">
        <v>3</v>
      </c>
      <c r="K72" s="293"/>
      <c r="L72" s="294"/>
      <c r="M72" s="75">
        <v>2</v>
      </c>
      <c r="N72" s="328"/>
      <c r="O72" s="299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9"/>
      <c r="I73" s="300"/>
      <c r="J73" s="75">
        <v>3</v>
      </c>
      <c r="K73" s="293"/>
      <c r="L73" s="294"/>
      <c r="M73" s="75">
        <v>1</v>
      </c>
      <c r="N73" s="328"/>
      <c r="O73" s="299"/>
      <c r="P73" s="59">
        <f t="shared" si="15"/>
        <v>0</v>
      </c>
    </row>
    <row r="74" spans="1:17" ht="21.95" customHeight="1">
      <c r="A74" s="35"/>
      <c r="G74" s="39">
        <f t="shared" si="14"/>
        <v>0</v>
      </c>
      <c r="H74" s="299"/>
      <c r="I74" s="300"/>
      <c r="J74" s="75">
        <v>2</v>
      </c>
      <c r="K74" s="293"/>
      <c r="L74" s="294"/>
      <c r="M74" s="75">
        <v>3</v>
      </c>
      <c r="N74" s="328"/>
      <c r="O74" s="299"/>
      <c r="P74" s="59">
        <f t="shared" si="15"/>
        <v>1</v>
      </c>
    </row>
    <row r="75" spans="1:17" ht="21.95" customHeight="1">
      <c r="A75" s="35"/>
      <c r="G75" s="39">
        <f t="shared" si="14"/>
        <v>1</v>
      </c>
      <c r="H75" s="299"/>
      <c r="I75" s="300"/>
      <c r="J75" s="75">
        <v>3</v>
      </c>
      <c r="K75" s="293"/>
      <c r="L75" s="294"/>
      <c r="M75" s="75">
        <v>2</v>
      </c>
      <c r="N75" s="328"/>
      <c r="O75" s="299"/>
      <c r="P75" s="59">
        <f t="shared" si="15"/>
        <v>0</v>
      </c>
    </row>
    <row r="76" spans="1:17" ht="21.95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zoomScale="75" zoomScaleNormal="75" zoomScaleSheetLayoutView="80" zoomScalePageLayoutView="75" workbookViewId="0">
      <selection activeCell="B9" sqref="B9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2021-2022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POITOU CHARENTES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IF(A8="","",IF('P.F.'!J71="","",IF('P.F.'!H71&gt;3,'P.F.'!H65,IF('P.F.'!N71&gt;3,'P.F.'!M65,""))))</f>
        <v>STE de TIR COGNAC</v>
      </c>
      <c r="C8" s="53"/>
      <c r="D8" s="55">
        <f>IF(A8="","",IF(B8="","",VLOOKUP(B8,'M Q'!B$7:AI$14,2,0)))</f>
        <v>1716147</v>
      </c>
      <c r="E8" s="223">
        <f>IF(A8="","",IF(B8="","",VLOOKUP(B8,'M Q'!B$7:AI$14,33,0)))</f>
        <v>1392.6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IF(A9="","",IF('P.F.'!M71="","",IF('P.F.'!H71&gt;3,'P.F.'!M65,IF('P.F.'!N71&gt;3,'P.F.'!H65,""))))</f>
        <v>STAND ANGOUMOISIN</v>
      </c>
      <c r="C9" s="53"/>
      <c r="D9" s="55">
        <f>IF(A9="","",IF(B9="","",VLOOKUP(B9,'M Q'!B$7:AI$14,2,0)))</f>
        <v>1716136</v>
      </c>
      <c r="E9" s="223">
        <f>IF(A9="","",IF(B9="","",VLOOKUP(B9,'M Q'!B$7:AI$14,33,0)))</f>
        <v>1319.8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 t="str">
        <f>IF(INFO!B8&gt;2,3,"")</f>
        <v/>
      </c>
      <c r="B10" s="54" t="str">
        <f>IF(A10="","",IF(INFO!B8=3,'P.F.'!M51,IF('P.F.'!J57="","",IF('P.F.'!H57&gt;3,'P.F.'!H51,IF('P.F.'!N57&gt;3,'P.F.'!M51,"")))))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IF(A11="","",IF('P.F.'!M57="","",IF('P.F.'!H57&gt;3,'P.F.'!M51,IF('P.F.'!N57&gt;3,'P.F.'!H51,""))))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IF('P.F.'!R25="","",IF('P.F.'!M25&gt;3,'P.F.'!R19,IF('P.F.'!S25&gt;3,'P.F.'!M19,"")))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R_C_D</dc:creator>
  <cp:lastModifiedBy>R_C_D</cp:lastModifiedBy>
  <cp:lastPrinted>2022-01-16T12:43:01Z</cp:lastPrinted>
  <dcterms:created xsi:type="dcterms:W3CDTF">2004-11-19T11:01:00Z</dcterms:created>
  <dcterms:modified xsi:type="dcterms:W3CDTF">2022-01-17T10:25:18Z</dcterms:modified>
</cp:coreProperties>
</file>